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АДОУ 226\!!,2023 год\ПФХД 2023\Николусова\10 дс\"/>
    </mc:Choice>
  </mc:AlternateContent>
  <bookViews>
    <workbookView xWindow="480" yWindow="180" windowWidth="19440" windowHeight="11760" firstSheet="1" activeTab="1"/>
  </bookViews>
  <sheets>
    <sheet name="Бланк от 18.09.19 2455" sheetId="1" state="hidden" r:id="rId1"/>
    <sheet name="Форма" sheetId="2" r:id="rId2"/>
    <sheet name="для сайта" sheetId="6" state="hidden" r:id="rId3"/>
    <sheet name="Утверждено (МЗ,ИЦ,КАП)" sheetId="3" r:id="rId4"/>
    <sheet name="Утверждено (ПДД)" sheetId="4" r:id="rId5"/>
    <sheet name="Закупки" sheetId="5" state="hidden" r:id="rId6"/>
    <sheet name="Таблица к разделу 2" sheetId="7" r:id="rId7"/>
  </sheets>
  <externalReferences>
    <externalReference r:id="rId8"/>
  </externalReferences>
  <definedNames>
    <definedName name="_xlnm._FilterDatabase" localSheetId="3" hidden="1">'Утверждено (МЗ,ИЦ,КАП)'!$A$4:$P$261</definedName>
    <definedName name="_xlnm._FilterDatabase" localSheetId="4" hidden="1">'Утверждено (ПДД)'!$A$6:$J$6</definedName>
    <definedName name="_xlnm.Print_Titles" localSheetId="3">'Утверждено (МЗ,ИЦ,КАП)'!$A:$E,'Утверждено (МЗ,ИЦ,КАП)'!$2:$4</definedName>
    <definedName name="_xlnm.Print_Titles" localSheetId="4">'Утверждено (ПДД)'!$A:$C,'Утверждено (ПДД)'!$4:$5</definedName>
    <definedName name="_xlnm.Print_Area" localSheetId="0">'Бланк от 18.09.19 2455'!$A$1:$I$216</definedName>
    <definedName name="_xlnm.Print_Area" localSheetId="3">'Утверждено (МЗ,ИЦ,КАП)'!$A$1:$N$261</definedName>
    <definedName name="_xlnm.Print_Area" localSheetId="4">'Утверждено (ПДД)'!$A$3:$F$147</definedName>
    <definedName name="_xlnm.Print_Area" localSheetId="1">Форма!$A$2:$I$217</definedName>
  </definedNames>
  <calcPr calcId="162913"/>
</workbook>
</file>

<file path=xl/calcChain.xml><?xml version="1.0" encoding="utf-8"?>
<calcChain xmlns="http://schemas.openxmlformats.org/spreadsheetml/2006/main">
  <c r="B20" i="7" l="1"/>
  <c r="E21" i="7"/>
  <c r="B21" i="7"/>
  <c r="B27" i="7"/>
  <c r="I119" i="3" l="1"/>
  <c r="I114" i="3"/>
  <c r="I7" i="3"/>
  <c r="I205" i="3" l="1"/>
  <c r="I204" i="3"/>
  <c r="I217" i="3" l="1"/>
  <c r="I236" i="3" l="1"/>
  <c r="I218" i="3"/>
  <c r="F168" i="2" l="1"/>
  <c r="I89" i="3"/>
  <c r="I88" i="3"/>
  <c r="C29" i="7" l="1"/>
  <c r="D29" i="7"/>
  <c r="E29" i="7"/>
  <c r="F29" i="7"/>
  <c r="G29" i="7"/>
  <c r="H29" i="7"/>
  <c r="B29" i="7"/>
  <c r="B25" i="7"/>
  <c r="H20" i="7"/>
  <c r="B3" i="7"/>
  <c r="D166" i="4" l="1"/>
  <c r="D167" i="4"/>
  <c r="D190" i="4"/>
  <c r="D205" i="4"/>
  <c r="D163" i="4"/>
  <c r="D201" i="4"/>
  <c r="D351" i="4" l="1"/>
  <c r="D529" i="4"/>
  <c r="D528" i="4"/>
  <c r="F155" i="2"/>
  <c r="I200" i="3"/>
  <c r="I199" i="3"/>
  <c r="I42" i="3" l="1"/>
  <c r="I94" i="3" l="1"/>
  <c r="I39" i="3"/>
  <c r="I27" i="3"/>
  <c r="I25" i="3"/>
  <c r="I24" i="3"/>
  <c r="I19" i="3"/>
  <c r="I15" i="3"/>
  <c r="F92" i="2" l="1"/>
  <c r="F81" i="2"/>
  <c r="D164" i="4"/>
  <c r="D162" i="4" s="1"/>
  <c r="D515" i="4"/>
  <c r="D156" i="4"/>
  <c r="D367" i="4"/>
  <c r="F69" i="2"/>
  <c r="F64" i="2"/>
  <c r="F58" i="2"/>
  <c r="D310" i="4"/>
  <c r="D364" i="4"/>
  <c r="D15" i="4"/>
  <c r="D12" i="4"/>
  <c r="D9" i="4"/>
  <c r="F638" i="4"/>
  <c r="F630" i="4"/>
  <c r="E630" i="4"/>
  <c r="D630" i="4"/>
  <c r="F613" i="4"/>
  <c r="E613" i="4"/>
  <c r="D613" i="4"/>
  <c r="F597" i="4"/>
  <c r="E597" i="4"/>
  <c r="E583" i="4" s="1"/>
  <c r="D597" i="4"/>
  <c r="F590" i="4"/>
  <c r="F583" i="4" s="1"/>
  <c r="E590" i="4"/>
  <c r="D590" i="4"/>
  <c r="D583" i="4" s="1"/>
  <c r="F578" i="4"/>
  <c r="E578" i="4"/>
  <c r="D578" i="4"/>
  <c r="F561" i="4"/>
  <c r="E561" i="4"/>
  <c r="D561" i="4"/>
  <c r="F545" i="4"/>
  <c r="E545" i="4"/>
  <c r="D545" i="4"/>
  <c r="D531" i="4" s="1"/>
  <c r="F538" i="4"/>
  <c r="E538" i="4"/>
  <c r="E531" i="4" s="1"/>
  <c r="D538" i="4"/>
  <c r="F531" i="4"/>
  <c r="F524" i="4"/>
  <c r="E524" i="4"/>
  <c r="D524" i="4"/>
  <c r="F507" i="4"/>
  <c r="E507" i="4"/>
  <c r="D507" i="4"/>
  <c r="F491" i="4"/>
  <c r="E491" i="4"/>
  <c r="D491" i="4"/>
  <c r="F484" i="4"/>
  <c r="E484" i="4"/>
  <c r="E477" i="4" s="1"/>
  <c r="D484" i="4"/>
  <c r="F477" i="4"/>
  <c r="F470" i="4"/>
  <c r="E470" i="4"/>
  <c r="D470" i="4"/>
  <c r="F453" i="4"/>
  <c r="E453" i="4"/>
  <c r="D453" i="4"/>
  <c r="F437" i="4"/>
  <c r="E437" i="4"/>
  <c r="D437" i="4"/>
  <c r="F430" i="4"/>
  <c r="F423" i="4" s="1"/>
  <c r="E430" i="4"/>
  <c r="D430" i="4"/>
  <c r="D423" i="4" s="1"/>
  <c r="E423" i="4"/>
  <c r="F416" i="4"/>
  <c r="E416" i="4"/>
  <c r="D416" i="4"/>
  <c r="F399" i="4"/>
  <c r="E399" i="4"/>
  <c r="D399" i="4"/>
  <c r="F383" i="4"/>
  <c r="F369" i="4" s="1"/>
  <c r="E383" i="4"/>
  <c r="D383" i="4"/>
  <c r="F376" i="4"/>
  <c r="E376" i="4"/>
  <c r="E369" i="4" s="1"/>
  <c r="D376" i="4"/>
  <c r="D369" i="4"/>
  <c r="F362" i="4"/>
  <c r="E362" i="4"/>
  <c r="D362" i="4"/>
  <c r="F345" i="4"/>
  <c r="E345" i="4"/>
  <c r="D345" i="4"/>
  <c r="F329" i="4"/>
  <c r="E329" i="4"/>
  <c r="E315" i="4" s="1"/>
  <c r="D329" i="4"/>
  <c r="F322" i="4"/>
  <c r="F315" i="4" s="1"/>
  <c r="E322" i="4"/>
  <c r="D322" i="4"/>
  <c r="D308" i="4"/>
  <c r="F308" i="4"/>
  <c r="E308" i="4"/>
  <c r="F291" i="4"/>
  <c r="E291" i="4"/>
  <c r="D291" i="4"/>
  <c r="F275" i="4"/>
  <c r="E275" i="4"/>
  <c r="E261" i="4" s="1"/>
  <c r="D275" i="4"/>
  <c r="F268" i="4"/>
  <c r="F261" i="4" s="1"/>
  <c r="E268" i="4"/>
  <c r="D268" i="4"/>
  <c r="F254" i="4"/>
  <c r="E254" i="4"/>
  <c r="D254" i="4"/>
  <c r="F237" i="4"/>
  <c r="E237" i="4"/>
  <c r="D237" i="4"/>
  <c r="F221" i="4"/>
  <c r="E221" i="4"/>
  <c r="D221" i="4"/>
  <c r="D207" i="4" s="1"/>
  <c r="G21" i="4" s="1"/>
  <c r="F214" i="4"/>
  <c r="E214" i="4"/>
  <c r="E207" i="4" s="1"/>
  <c r="D214" i="4"/>
  <c r="F207" i="4"/>
  <c r="D99" i="4"/>
  <c r="F202" i="4"/>
  <c r="E202" i="4"/>
  <c r="F185" i="4"/>
  <c r="E185" i="4"/>
  <c r="D185" i="4"/>
  <c r="F169" i="4"/>
  <c r="E169" i="4"/>
  <c r="D169" i="4"/>
  <c r="F162" i="4"/>
  <c r="F155" i="4" s="1"/>
  <c r="E162" i="4"/>
  <c r="E155" i="4"/>
  <c r="F150" i="4"/>
  <c r="E150" i="4"/>
  <c r="D150" i="4"/>
  <c r="F133" i="4"/>
  <c r="E133" i="4"/>
  <c r="D133" i="4"/>
  <c r="F117" i="4"/>
  <c r="E117" i="4"/>
  <c r="D117" i="4"/>
  <c r="D103" i="4" s="1"/>
  <c r="F110" i="4"/>
  <c r="E110" i="4"/>
  <c r="E103" i="4" s="1"/>
  <c r="D110" i="4"/>
  <c r="F103" i="4"/>
  <c r="F102" i="4"/>
  <c r="E102" i="4"/>
  <c r="D102" i="4"/>
  <c r="F101" i="4"/>
  <c r="E101" i="4"/>
  <c r="D101" i="4"/>
  <c r="F100" i="4"/>
  <c r="E100" i="4"/>
  <c r="D100" i="4"/>
  <c r="F99" i="4"/>
  <c r="F98" i="4" s="1"/>
  <c r="F639" i="4" s="1"/>
  <c r="E99" i="4"/>
  <c r="E98" i="4"/>
  <c r="E639" i="4" s="1"/>
  <c r="F97" i="4"/>
  <c r="E97" i="4"/>
  <c r="E638" i="4" s="1"/>
  <c r="D97" i="4"/>
  <c r="D638" i="4" s="1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F81" i="4" s="1"/>
  <c r="E82" i="4"/>
  <c r="E81" i="4" s="1"/>
  <c r="D82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F65" i="4" s="1"/>
  <c r="E66" i="4"/>
  <c r="E65" i="4" s="1"/>
  <c r="D66" i="4"/>
  <c r="F64" i="4"/>
  <c r="E64" i="4"/>
  <c r="D64" i="4"/>
  <c r="F63" i="4"/>
  <c r="E63" i="4"/>
  <c r="D63" i="4"/>
  <c r="F164" i="2" s="1"/>
  <c r="F62" i="4"/>
  <c r="E62" i="4"/>
  <c r="D62" i="4"/>
  <c r="F61" i="4"/>
  <c r="E61" i="4"/>
  <c r="D61" i="4"/>
  <c r="F60" i="4"/>
  <c r="E60" i="4"/>
  <c r="F59" i="4"/>
  <c r="F58" i="4" s="1"/>
  <c r="E59" i="4"/>
  <c r="D59" i="4"/>
  <c r="E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E51" i="4" s="1"/>
  <c r="D52" i="4"/>
  <c r="F40" i="4"/>
  <c r="E40" i="4"/>
  <c r="D40" i="4"/>
  <c r="F29" i="4"/>
  <c r="E29" i="4"/>
  <c r="D29" i="4"/>
  <c r="D18" i="4"/>
  <c r="F18" i="4"/>
  <c r="E18" i="4"/>
  <c r="F7" i="4"/>
  <c r="E7" i="4"/>
  <c r="B6" i="4"/>
  <c r="C6" i="4" s="1"/>
  <c r="D6" i="4" s="1"/>
  <c r="E6" i="4" s="1"/>
  <c r="F6" i="4" s="1"/>
  <c r="F5" i="4"/>
  <c r="E5" i="4"/>
  <c r="F151" i="2" l="1"/>
  <c r="E1" i="4"/>
  <c r="D60" i="4"/>
  <c r="D58" i="4"/>
  <c r="D98" i="4"/>
  <c r="D315" i="4"/>
  <c r="D65" i="4"/>
  <c r="D81" i="4"/>
  <c r="D636" i="4" s="1"/>
  <c r="D477" i="4"/>
  <c r="E636" i="4"/>
  <c r="E637" i="4" s="1"/>
  <c r="D261" i="4"/>
  <c r="F51" i="4"/>
  <c r="F1" i="4" s="1"/>
  <c r="F636" i="4"/>
  <c r="F637" i="4" s="1"/>
  <c r="D202" i="4"/>
  <c r="D155" i="4" s="1"/>
  <c r="G155" i="4" s="1"/>
  <c r="D7" i="4"/>
  <c r="F150" i="2" l="1"/>
  <c r="D639" i="4"/>
  <c r="D637" i="4" s="1"/>
  <c r="F152" i="2"/>
  <c r="D51" i="4"/>
  <c r="D1" i="4" s="1"/>
  <c r="G20" i="4"/>
  <c r="I14" i="3" l="1"/>
  <c r="I112" i="3"/>
  <c r="D27" i="7" l="1"/>
  <c r="D28" i="7"/>
  <c r="E3" i="7" l="1"/>
  <c r="D3" i="7"/>
  <c r="I61" i="3" l="1"/>
  <c r="I161" i="3" l="1"/>
  <c r="I160" i="3"/>
  <c r="I109" i="3"/>
  <c r="I108" i="3"/>
  <c r="I106" i="3"/>
  <c r="I105" i="3"/>
  <c r="I22" i="3"/>
  <c r="I18" i="3" l="1"/>
  <c r="I17" i="3"/>
  <c r="H142" i="3" l="1"/>
  <c r="H138" i="3"/>
  <c r="I134" i="3"/>
  <c r="I12" i="3" l="1"/>
  <c r="D10" i="7" l="1"/>
  <c r="H9" i="7"/>
  <c r="D9" i="7"/>
  <c r="B9" i="7"/>
  <c r="B7" i="7"/>
  <c r="B5" i="7"/>
  <c r="L18" i="3" l="1"/>
  <c r="F12" i="3"/>
  <c r="H13" i="7" l="1"/>
  <c r="B13" i="7" l="1"/>
  <c r="K161" i="3"/>
  <c r="K160" i="3"/>
  <c r="K144" i="3"/>
  <c r="K130" i="3"/>
  <c r="K134" i="3"/>
  <c r="K129" i="3"/>
  <c r="K119" i="3"/>
  <c r="K114" i="3"/>
  <c r="K112" i="3"/>
  <c r="K106" i="3"/>
  <c r="K107" i="3"/>
  <c r="K108" i="3"/>
  <c r="K109" i="3"/>
  <c r="K105" i="3"/>
  <c r="K94" i="3"/>
  <c r="K89" i="3"/>
  <c r="K88" i="3"/>
  <c r="K61" i="3"/>
  <c r="K42" i="3"/>
  <c r="K39" i="3"/>
  <c r="K24" i="3"/>
  <c r="K25" i="3"/>
  <c r="K27" i="3"/>
  <c r="K22" i="3"/>
  <c r="K19" i="3"/>
  <c r="K18" i="3"/>
  <c r="K17" i="3"/>
  <c r="K15" i="3"/>
  <c r="K14" i="3"/>
  <c r="K12" i="3"/>
  <c r="K7" i="3"/>
  <c r="F163" i="2"/>
  <c r="I21" i="7" l="1"/>
  <c r="I137" i="3" l="1"/>
  <c r="F140" i="3"/>
  <c r="G140" i="3"/>
  <c r="H140" i="3"/>
  <c r="F141" i="3"/>
  <c r="G141" i="3"/>
  <c r="H141" i="3"/>
  <c r="L3" i="3"/>
  <c r="I3" i="3"/>
  <c r="H244" i="3" l="1"/>
  <c r="G244" i="3"/>
  <c r="F244" i="3"/>
  <c r="I13" i="7" l="1"/>
  <c r="F201" i="3" l="1"/>
  <c r="G201" i="3"/>
  <c r="H201" i="3"/>
  <c r="F75" i="2" l="1"/>
  <c r="F114" i="3" l="1"/>
  <c r="J13" i="3" l="1"/>
  <c r="I60" i="3"/>
  <c r="I21" i="3"/>
  <c r="H30" i="7" l="1"/>
  <c r="I3" i="7"/>
  <c r="H200" i="2"/>
  <c r="G200" i="2"/>
  <c r="F200" i="2"/>
  <c r="H18" i="3"/>
  <c r="G163" i="2"/>
  <c r="G162" i="2" s="1"/>
  <c r="F162" i="2"/>
  <c r="G18" i="3"/>
  <c r="F18" i="3"/>
  <c r="H17" i="3"/>
  <c r="G17" i="3"/>
  <c r="F17" i="3"/>
  <c r="I162" i="2"/>
  <c r="I50" i="7"/>
  <c r="I49" i="7"/>
  <c r="I48" i="7"/>
  <c r="H47" i="7"/>
  <c r="G47" i="7"/>
  <c r="F47" i="7"/>
  <c r="E47" i="7"/>
  <c r="D47" i="7"/>
  <c r="C47" i="7"/>
  <c r="B47" i="7"/>
  <c r="I45" i="7"/>
  <c r="I44" i="7"/>
  <c r="I43" i="7"/>
  <c r="I42" i="7"/>
  <c r="I41" i="7"/>
  <c r="I40" i="7"/>
  <c r="H39" i="7"/>
  <c r="H46" i="7" s="1"/>
  <c r="G39" i="7"/>
  <c r="G46" i="7" s="1"/>
  <c r="F39" i="7"/>
  <c r="F46" i="7" s="1"/>
  <c r="E39" i="7"/>
  <c r="E46" i="7" s="1"/>
  <c r="D39" i="7"/>
  <c r="D46" i="7" s="1"/>
  <c r="C39" i="7"/>
  <c r="C46" i="7" s="1"/>
  <c r="B39" i="7"/>
  <c r="I38" i="7"/>
  <c r="I33" i="7"/>
  <c r="I32" i="7"/>
  <c r="I31" i="7"/>
  <c r="G30" i="7"/>
  <c r="F30" i="7"/>
  <c r="E30" i="7"/>
  <c r="D30" i="7"/>
  <c r="C30" i="7"/>
  <c r="B30" i="7"/>
  <c r="I28" i="7"/>
  <c r="I27" i="7"/>
  <c r="I26" i="7"/>
  <c r="I25" i="7"/>
  <c r="I24" i="7"/>
  <c r="I23" i="7"/>
  <c r="H22" i="7"/>
  <c r="G22" i="7"/>
  <c r="F22" i="7"/>
  <c r="E22" i="7"/>
  <c r="D22" i="7"/>
  <c r="C22" i="7"/>
  <c r="B22" i="7"/>
  <c r="I20" i="7"/>
  <c r="I15" i="7"/>
  <c r="I14" i="7"/>
  <c r="H12" i="7"/>
  <c r="G12" i="7"/>
  <c r="F12" i="7"/>
  <c r="E12" i="7"/>
  <c r="D12" i="7"/>
  <c r="C12" i="7"/>
  <c r="B12" i="7"/>
  <c r="I10" i="7"/>
  <c r="I9" i="7"/>
  <c r="I8" i="7"/>
  <c r="I7" i="7"/>
  <c r="I6" i="7"/>
  <c r="I5" i="7"/>
  <c r="H4" i="7"/>
  <c r="H11" i="7" s="1"/>
  <c r="G4" i="7"/>
  <c r="G11" i="7" s="1"/>
  <c r="F4" i="7"/>
  <c r="F11" i="7" s="1"/>
  <c r="E4" i="7"/>
  <c r="E11" i="7" s="1"/>
  <c r="D4" i="7"/>
  <c r="D11" i="7" s="1"/>
  <c r="C4" i="7"/>
  <c r="C11" i="7" s="1"/>
  <c r="B4" i="7"/>
  <c r="G185" i="2" l="1"/>
  <c r="I29" i="7"/>
  <c r="I39" i="7"/>
  <c r="I46" i="7" s="1"/>
  <c r="I12" i="7"/>
  <c r="G182" i="2"/>
  <c r="H182" i="2"/>
  <c r="H163" i="2"/>
  <c r="H162" i="2" s="1"/>
  <c r="I30" i="7"/>
  <c r="G181" i="2" s="1"/>
  <c r="H181" i="2" s="1"/>
  <c r="I47" i="7"/>
  <c r="F181" i="2"/>
  <c r="I4" i="7"/>
  <c r="I11" i="7" s="1"/>
  <c r="F185" i="2" s="1"/>
  <c r="F182" i="2" s="1"/>
  <c r="B11" i="7"/>
  <c r="I22" i="7"/>
  <c r="G205" i="2" s="1"/>
  <c r="B46" i="7"/>
  <c r="H206" i="2" l="1"/>
  <c r="J137" i="3" l="1"/>
  <c r="K137" i="3"/>
  <c r="H137" i="3" s="1"/>
  <c r="F19" i="3" l="1"/>
  <c r="G11" i="2" l="1"/>
  <c r="F115" i="3" l="1"/>
  <c r="F8" i="3"/>
  <c r="I215" i="3" l="1"/>
  <c r="AM297" i="6" l="1"/>
  <c r="AI297" i="6"/>
  <c r="AE297" i="6"/>
  <c r="AA297" i="6"/>
  <c r="W297" i="6"/>
  <c r="AQ296" i="6"/>
  <c r="AI296" i="6"/>
  <c r="AE296" i="6"/>
  <c r="S296" i="6" s="1"/>
  <c r="AA296" i="6"/>
  <c r="W296" i="6"/>
  <c r="AQ295" i="6"/>
  <c r="AM295" i="6"/>
  <c r="AE295" i="6"/>
  <c r="AA295" i="6"/>
  <c r="W295" i="6"/>
  <c r="AE294" i="6"/>
  <c r="AQ292" i="6"/>
  <c r="AM292" i="6"/>
  <c r="AE292" i="6"/>
  <c r="S292" i="6" s="1"/>
  <c r="AA292" i="6"/>
  <c r="O292" i="6" s="1"/>
  <c r="W292" i="6"/>
  <c r="B284" i="6"/>
  <c r="Q279" i="6"/>
  <c r="AU279" i="6" s="1"/>
  <c r="Q278" i="6"/>
  <c r="Q277" i="6"/>
  <c r="Q276" i="6"/>
  <c r="AQ275" i="6"/>
  <c r="AM275" i="6"/>
  <c r="AI275" i="6"/>
  <c r="AE275" i="6"/>
  <c r="AA275" i="6"/>
  <c r="V275" i="6"/>
  <c r="Q274" i="6"/>
  <c r="Q273" i="6"/>
  <c r="Q272" i="6"/>
  <c r="AQ271" i="6"/>
  <c r="AM271" i="6"/>
  <c r="AI271" i="6"/>
  <c r="AE271" i="6"/>
  <c r="AA271" i="6"/>
  <c r="V271" i="6"/>
  <c r="Q270" i="6"/>
  <c r="AE269" i="6"/>
  <c r="Q269" i="6" s="1"/>
  <c r="AQ268" i="6"/>
  <c r="AM268" i="6"/>
  <c r="AI268" i="6"/>
  <c r="AA268" i="6"/>
  <c r="V268" i="6"/>
  <c r="Q267" i="6"/>
  <c r="AM266" i="6"/>
  <c r="AM265" i="6" s="1"/>
  <c r="V266" i="6"/>
  <c r="AQ265" i="6"/>
  <c r="AI265" i="6"/>
  <c r="AE265" i="6"/>
  <c r="AA265" i="6"/>
  <c r="AA263" i="6"/>
  <c r="Q263" i="6" s="1"/>
  <c r="AM261" i="6"/>
  <c r="AA261" i="6"/>
  <c r="V261" i="6"/>
  <c r="AQ260" i="6"/>
  <c r="AI260" i="6"/>
  <c r="AE260" i="6"/>
  <c r="Q259" i="6"/>
  <c r="AU259" i="6" s="1"/>
  <c r="AM258" i="6"/>
  <c r="AM257" i="6"/>
  <c r="Q256" i="6"/>
  <c r="AM255" i="6"/>
  <c r="AQ254" i="6"/>
  <c r="AI254" i="6"/>
  <c r="AE254" i="6"/>
  <c r="AA254" i="6"/>
  <c r="Q253" i="6"/>
  <c r="AA252" i="6"/>
  <c r="Q252" i="6" s="1"/>
  <c r="AA251" i="6"/>
  <c r="Q251" i="6" s="1"/>
  <c r="Q250" i="6"/>
  <c r="AM249" i="6"/>
  <c r="AM248" i="6" s="1"/>
  <c r="AQ248" i="6"/>
  <c r="AI248" i="6"/>
  <c r="AE248" i="6"/>
  <c r="AM247" i="6"/>
  <c r="Q246" i="6"/>
  <c r="AM245" i="6"/>
  <c r="Q244" i="6"/>
  <c r="AM243" i="6"/>
  <c r="AA243" i="6"/>
  <c r="Q242" i="6"/>
  <c r="AQ241" i="6"/>
  <c r="AQ239" i="6" s="1"/>
  <c r="AI241" i="6"/>
  <c r="AI239" i="6" s="1"/>
  <c r="AE241" i="6"/>
  <c r="AE239" i="6" s="1"/>
  <c r="AA241" i="6"/>
  <c r="AA239" i="6" s="1"/>
  <c r="Q240" i="6"/>
  <c r="AM237" i="6"/>
  <c r="Q237" i="6" s="1"/>
  <c r="AM235" i="6"/>
  <c r="Q235" i="6" s="1"/>
  <c r="Q233" i="6"/>
  <c r="AE232" i="6"/>
  <c r="AE226" i="6" s="1"/>
  <c r="AM231" i="6"/>
  <c r="AM230" i="6"/>
  <c r="Q230" i="6" s="1"/>
  <c r="AM227" i="6"/>
  <c r="Q227" i="6" s="1"/>
  <c r="AQ226" i="6"/>
  <c r="AI226" i="6"/>
  <c r="I196" i="6"/>
  <c r="I213" i="6" s="1"/>
  <c r="I192" i="6"/>
  <c r="I212" i="6" s="1"/>
  <c r="H192" i="6"/>
  <c r="H212" i="6" s="1"/>
  <c r="G192" i="6"/>
  <c r="G212" i="6" s="1"/>
  <c r="F192" i="6"/>
  <c r="F212" i="6" s="1"/>
  <c r="I189" i="6"/>
  <c r="I185" i="6"/>
  <c r="I182" i="6"/>
  <c r="F180" i="6"/>
  <c r="AI292" i="6" s="1"/>
  <c r="I178" i="6"/>
  <c r="H178" i="6"/>
  <c r="G178" i="6"/>
  <c r="H173" i="6"/>
  <c r="G173" i="6"/>
  <c r="F173" i="6"/>
  <c r="H166" i="6"/>
  <c r="G166" i="6"/>
  <c r="F166" i="6"/>
  <c r="H162" i="6"/>
  <c r="G162" i="6"/>
  <c r="F162" i="6"/>
  <c r="I160" i="6"/>
  <c r="H160" i="6"/>
  <c r="G160" i="6"/>
  <c r="F160" i="6"/>
  <c r="I158" i="6"/>
  <c r="H158" i="6"/>
  <c r="G158" i="6"/>
  <c r="F158" i="6"/>
  <c r="I157" i="6"/>
  <c r="H157" i="6"/>
  <c r="G157" i="6"/>
  <c r="F157" i="6"/>
  <c r="I153" i="6"/>
  <c r="F152" i="6"/>
  <c r="F151" i="6"/>
  <c r="H150" i="6"/>
  <c r="G150" i="6"/>
  <c r="F150" i="6"/>
  <c r="I149" i="6"/>
  <c r="H149" i="6"/>
  <c r="H191" i="6" s="1"/>
  <c r="H189" i="6" s="1"/>
  <c r="G149" i="6"/>
  <c r="G216" i="6" s="1"/>
  <c r="H147" i="6"/>
  <c r="G147" i="6"/>
  <c r="F147" i="6"/>
  <c r="I145" i="6"/>
  <c r="I142" i="6"/>
  <c r="H142" i="6"/>
  <c r="G142" i="6"/>
  <c r="F142" i="6"/>
  <c r="I138" i="6"/>
  <c r="H138" i="6"/>
  <c r="G138" i="6"/>
  <c r="F138" i="6"/>
  <c r="H134" i="6"/>
  <c r="H133" i="6" s="1"/>
  <c r="G134" i="6"/>
  <c r="G133" i="6" s="1"/>
  <c r="F134" i="6"/>
  <c r="F133" i="6" s="1"/>
  <c r="H129" i="6"/>
  <c r="G129" i="6"/>
  <c r="F129" i="6"/>
  <c r="H125" i="6"/>
  <c r="G125" i="6"/>
  <c r="F125" i="6"/>
  <c r="H121" i="6"/>
  <c r="G121" i="6"/>
  <c r="F121" i="6"/>
  <c r="H118" i="6"/>
  <c r="H117" i="6" s="1"/>
  <c r="G118" i="6"/>
  <c r="G117" i="6" s="1"/>
  <c r="F118" i="6"/>
  <c r="V258" i="6" s="1"/>
  <c r="H115" i="6"/>
  <c r="H114" i="6" s="1"/>
  <c r="G115" i="6"/>
  <c r="G114" i="6" s="1"/>
  <c r="F115" i="6"/>
  <c r="V257" i="6" s="1"/>
  <c r="H112" i="6"/>
  <c r="H111" i="6" s="1"/>
  <c r="G112" i="6"/>
  <c r="G111" i="6" s="1"/>
  <c r="F112" i="6"/>
  <c r="V255" i="6" s="1"/>
  <c r="H108" i="6"/>
  <c r="G108" i="6"/>
  <c r="F108" i="6"/>
  <c r="H106" i="6"/>
  <c r="G106" i="6"/>
  <c r="F106" i="6"/>
  <c r="H104" i="6"/>
  <c r="G104" i="6"/>
  <c r="F104" i="6"/>
  <c r="H102" i="6"/>
  <c r="G102" i="6"/>
  <c r="F102" i="6"/>
  <c r="H100" i="6"/>
  <c r="H99" i="6" s="1"/>
  <c r="G100" i="6"/>
  <c r="G99" i="6" s="1"/>
  <c r="F100" i="6"/>
  <c r="V249" i="6" s="1"/>
  <c r="H94" i="6"/>
  <c r="G94" i="6"/>
  <c r="F94" i="6"/>
  <c r="H91" i="6"/>
  <c r="H90" i="6" s="1"/>
  <c r="G91" i="6"/>
  <c r="G90" i="6" s="1"/>
  <c r="F91" i="6"/>
  <c r="V247" i="6" s="1"/>
  <c r="H86" i="6"/>
  <c r="G86" i="6"/>
  <c r="F86" i="6"/>
  <c r="H84" i="6"/>
  <c r="H83" i="6" s="1"/>
  <c r="G84" i="6"/>
  <c r="G83" i="6" s="1"/>
  <c r="F84" i="6"/>
  <c r="V245" i="6" s="1"/>
  <c r="H80" i="6"/>
  <c r="H79" i="6" s="1"/>
  <c r="G80" i="6"/>
  <c r="G79" i="6" s="1"/>
  <c r="I72" i="6"/>
  <c r="H72" i="6"/>
  <c r="G72" i="6"/>
  <c r="F72" i="6"/>
  <c r="H70" i="6"/>
  <c r="G70" i="6"/>
  <c r="F70" i="6"/>
  <c r="F69" i="6" s="1"/>
  <c r="I69" i="6"/>
  <c r="H69" i="6"/>
  <c r="G69" i="6"/>
  <c r="I66" i="6"/>
  <c r="H64" i="6"/>
  <c r="G64" i="6"/>
  <c r="F64" i="6"/>
  <c r="AM229" i="6" s="1"/>
  <c r="I62" i="6"/>
  <c r="C32" i="6"/>
  <c r="B208" i="6" s="1"/>
  <c r="G11" i="6"/>
  <c r="AQ238" i="6" l="1"/>
  <c r="AM254" i="6"/>
  <c r="AE238" i="6"/>
  <c r="Q261" i="6"/>
  <c r="F178" i="6"/>
  <c r="F149" i="6"/>
  <c r="F191" i="6" s="1"/>
  <c r="F189" i="6" s="1"/>
  <c r="AM241" i="6"/>
  <c r="AM239" i="6" s="1"/>
  <c r="I181" i="6"/>
  <c r="I144" i="6"/>
  <c r="I137" i="6" s="1"/>
  <c r="I175" i="6" s="1"/>
  <c r="Q258" i="6"/>
  <c r="Q271" i="6"/>
  <c r="AE291" i="6"/>
  <c r="O295" i="6"/>
  <c r="H120" i="6"/>
  <c r="S295" i="6"/>
  <c r="K297" i="6"/>
  <c r="F114" i="6"/>
  <c r="AI238" i="6"/>
  <c r="AI280" i="6" s="1"/>
  <c r="W294" i="6"/>
  <c r="W291" i="6" s="1"/>
  <c r="I60" i="6"/>
  <c r="Q245" i="6"/>
  <c r="Q247" i="6"/>
  <c r="H89" i="6"/>
  <c r="H78" i="6" s="1"/>
  <c r="G98" i="6"/>
  <c r="G97" i="6" s="1"/>
  <c r="G120" i="6"/>
  <c r="F120" i="6"/>
  <c r="AE280" i="6"/>
  <c r="AQ280" i="6"/>
  <c r="AM234" i="6"/>
  <c r="AA248" i="6"/>
  <c r="AE268" i="6"/>
  <c r="Q268" i="6" s="1"/>
  <c r="Q275" i="6"/>
  <c r="AA294" i="6"/>
  <c r="O297" i="6"/>
  <c r="I77" i="6"/>
  <c r="F90" i="6"/>
  <c r="F89" i="6" s="1"/>
  <c r="F83" i="6"/>
  <c r="F117" i="6"/>
  <c r="F111" i="6"/>
  <c r="Q234" i="6"/>
  <c r="AM226" i="6"/>
  <c r="G89" i="6"/>
  <c r="G78" i="6" s="1"/>
  <c r="H98" i="6"/>
  <c r="H97" i="6" s="1"/>
  <c r="H110" i="6"/>
  <c r="G110" i="6"/>
  <c r="Q257" i="6"/>
  <c r="Q266" i="6"/>
  <c r="AA291" i="6"/>
  <c r="K296" i="6"/>
  <c r="Q255" i="6"/>
  <c r="V254" i="6"/>
  <c r="Q254" i="6" s="1"/>
  <c r="Q249" i="6"/>
  <c r="V248" i="6"/>
  <c r="K292" i="6"/>
  <c r="G191" i="6"/>
  <c r="G189" i="6" s="1"/>
  <c r="F216" i="6"/>
  <c r="H216" i="6"/>
  <c r="V265" i="6"/>
  <c r="Q265" i="6" s="1"/>
  <c r="F99" i="6"/>
  <c r="F98" i="6" s="1"/>
  <c r="F97" i="6" s="1"/>
  <c r="G137" i="3"/>
  <c r="F137" i="3"/>
  <c r="I59" i="6" l="1"/>
  <c r="I214" i="6"/>
  <c r="AM264" i="6"/>
  <c r="AM260" i="6" s="1"/>
  <c r="AM238" i="6" s="1"/>
  <c r="AM280" i="6" s="1"/>
  <c r="I211" i="6"/>
  <c r="Q248" i="6"/>
  <c r="F110" i="6"/>
  <c r="F211" i="3"/>
  <c r="G211" i="3"/>
  <c r="H211" i="3"/>
  <c r="F212" i="3"/>
  <c r="G212" i="3"/>
  <c r="H212" i="3"/>
  <c r="I208" i="3"/>
  <c r="I66" i="2"/>
  <c r="B216" i="2" l="1"/>
  <c r="I204" i="2"/>
  <c r="I221" i="2" s="1"/>
  <c r="I200" i="2"/>
  <c r="I220" i="2" s="1"/>
  <c r="H220" i="2"/>
  <c r="G220" i="2"/>
  <c r="F220" i="2"/>
  <c r="I196" i="2"/>
  <c r="I190" i="2"/>
  <c r="I187" i="2"/>
  <c r="I182" i="2"/>
  <c r="H177" i="2"/>
  <c r="G177" i="2"/>
  <c r="F177" i="2"/>
  <c r="I186" i="2" l="1"/>
  <c r="F102" i="3" l="1"/>
  <c r="G102" i="3"/>
  <c r="H102" i="3"/>
  <c r="I91" i="3"/>
  <c r="F97" i="3"/>
  <c r="G97" i="3"/>
  <c r="H97" i="3"/>
  <c r="F96" i="3"/>
  <c r="G96" i="3"/>
  <c r="H96" i="3"/>
  <c r="H101" i="3" l="1"/>
  <c r="G101" i="3"/>
  <c r="F101" i="3"/>
  <c r="H93" i="3"/>
  <c r="G93" i="3"/>
  <c r="F93" i="3"/>
  <c r="G100" i="2"/>
  <c r="H100" i="2"/>
  <c r="F100" i="2"/>
  <c r="H84" i="3" l="1"/>
  <c r="H83" i="3" s="1"/>
  <c r="G84" i="3"/>
  <c r="G83" i="3" s="1"/>
  <c r="F84" i="3"/>
  <c r="F83" i="3" s="1"/>
  <c r="I83" i="3"/>
  <c r="J83" i="3"/>
  <c r="K83" i="3"/>
  <c r="L83" i="3"/>
  <c r="M83" i="3"/>
  <c r="N83" i="3"/>
  <c r="G115" i="2" l="1"/>
  <c r="H115" i="2"/>
  <c r="F115" i="2"/>
  <c r="G118" i="2"/>
  <c r="H118" i="2"/>
  <c r="F118" i="2"/>
  <c r="G112" i="2"/>
  <c r="H112" i="2"/>
  <c r="F112" i="2"/>
  <c r="G91" i="2"/>
  <c r="H91" i="2"/>
  <c r="G84" i="2"/>
  <c r="H84" i="2"/>
  <c r="F84" i="2"/>
  <c r="G80" i="2"/>
  <c r="H80" i="2"/>
  <c r="G71" i="2"/>
  <c r="H71" i="2"/>
  <c r="H199" i="3"/>
  <c r="G199" i="3"/>
  <c r="F199" i="3"/>
  <c r="H45" i="3"/>
  <c r="G45" i="3"/>
  <c r="F45" i="3"/>
  <c r="H44" i="3"/>
  <c r="G44" i="3"/>
  <c r="F44" i="3"/>
  <c r="F147" i="2"/>
  <c r="G147" i="2"/>
  <c r="H147" i="2"/>
  <c r="L137" i="3"/>
  <c r="M137" i="3"/>
  <c r="N137" i="3"/>
  <c r="H144" i="3"/>
  <c r="G144" i="3"/>
  <c r="F144" i="3"/>
  <c r="H143" i="3"/>
  <c r="G143" i="3"/>
  <c r="F143" i="3"/>
  <c r="G142" i="3"/>
  <c r="F142" i="3"/>
  <c r="H139" i="3"/>
  <c r="G139" i="3"/>
  <c r="F139" i="3"/>
  <c r="G138" i="3"/>
  <c r="F138" i="3"/>
  <c r="I145" i="3"/>
  <c r="F148" i="6" s="1"/>
  <c r="J145" i="3"/>
  <c r="K145" i="3"/>
  <c r="L145" i="3"/>
  <c r="M145" i="3"/>
  <c r="N145" i="3"/>
  <c r="H154" i="3"/>
  <c r="G154" i="3"/>
  <c r="F154" i="3"/>
  <c r="H153" i="3"/>
  <c r="G153" i="3"/>
  <c r="F153" i="3"/>
  <c r="H152" i="3"/>
  <c r="G152" i="3"/>
  <c r="F152" i="3"/>
  <c r="H151" i="3"/>
  <c r="G151" i="3"/>
  <c r="F151" i="3"/>
  <c r="H150" i="3"/>
  <c r="G150" i="3"/>
  <c r="F150" i="3"/>
  <c r="H149" i="3"/>
  <c r="G149" i="3"/>
  <c r="F149" i="3"/>
  <c r="H147" i="3"/>
  <c r="G147" i="3"/>
  <c r="F147" i="3"/>
  <c r="H146" i="3"/>
  <c r="G146" i="3"/>
  <c r="F146" i="3"/>
  <c r="I128" i="3"/>
  <c r="J128" i="3"/>
  <c r="K128" i="3"/>
  <c r="L128" i="3"/>
  <c r="M128" i="3"/>
  <c r="N128" i="3"/>
  <c r="F129" i="3"/>
  <c r="F130" i="3"/>
  <c r="F131" i="3"/>
  <c r="F132" i="3"/>
  <c r="F133" i="3"/>
  <c r="F134" i="3"/>
  <c r="F135" i="3"/>
  <c r="F136" i="3"/>
  <c r="F148" i="3"/>
  <c r="F155" i="3"/>
  <c r="F156" i="3"/>
  <c r="F157" i="3"/>
  <c r="F158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200" i="3"/>
  <c r="F202" i="3"/>
  <c r="F204" i="3"/>
  <c r="F205" i="3"/>
  <c r="F154" i="2" s="1"/>
  <c r="F206" i="3"/>
  <c r="F207" i="3"/>
  <c r="F209" i="3"/>
  <c r="F210" i="3"/>
  <c r="F214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6" i="3"/>
  <c r="F237" i="3"/>
  <c r="F238" i="3"/>
  <c r="F240" i="3"/>
  <c r="F241" i="3"/>
  <c r="F242" i="3"/>
  <c r="F247" i="3"/>
  <c r="F248" i="3"/>
  <c r="F249" i="3"/>
  <c r="F251" i="3"/>
  <c r="F252" i="3"/>
  <c r="F253" i="3"/>
  <c r="F255" i="3"/>
  <c r="F256" i="3"/>
  <c r="F257" i="3"/>
  <c r="F259" i="3"/>
  <c r="F260" i="3"/>
  <c r="F261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I122" i="3"/>
  <c r="J122" i="3"/>
  <c r="K122" i="3"/>
  <c r="L122" i="3"/>
  <c r="M122" i="3"/>
  <c r="N122" i="3"/>
  <c r="H127" i="3"/>
  <c r="G127" i="3"/>
  <c r="F127" i="3"/>
  <c r="H126" i="3"/>
  <c r="G126" i="3"/>
  <c r="F126" i="3"/>
  <c r="H125" i="3"/>
  <c r="G125" i="3"/>
  <c r="F125" i="3"/>
  <c r="H124" i="3"/>
  <c r="G124" i="3"/>
  <c r="F124" i="3"/>
  <c r="H121" i="3"/>
  <c r="H120" i="3" s="1"/>
  <c r="G121" i="3"/>
  <c r="G120" i="3" s="1"/>
  <c r="F121" i="3"/>
  <c r="F120" i="3" s="1"/>
  <c r="N120" i="3"/>
  <c r="M120" i="3"/>
  <c r="L120" i="3"/>
  <c r="K120" i="3"/>
  <c r="J120" i="3"/>
  <c r="I120" i="3"/>
  <c r="H119" i="3"/>
  <c r="G119" i="3"/>
  <c r="F119" i="3"/>
  <c r="H118" i="3"/>
  <c r="G118" i="3"/>
  <c r="F118" i="3"/>
  <c r="H117" i="3"/>
  <c r="G117" i="3"/>
  <c r="F117" i="3"/>
  <c r="H116" i="3"/>
  <c r="G116" i="3"/>
  <c r="F116" i="3"/>
  <c r="H114" i="3"/>
  <c r="G114" i="3"/>
  <c r="H148" i="3"/>
  <c r="G148" i="3"/>
  <c r="J91" i="3"/>
  <c r="K91" i="3"/>
  <c r="L91" i="3"/>
  <c r="M91" i="3"/>
  <c r="N91" i="3"/>
  <c r="H100" i="3"/>
  <c r="G100" i="3"/>
  <c r="F100" i="3"/>
  <c r="H92" i="3"/>
  <c r="G92" i="3"/>
  <c r="F92" i="3"/>
  <c r="H94" i="3"/>
  <c r="G94" i="3"/>
  <c r="F94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G73" i="3"/>
  <c r="F73" i="3"/>
  <c r="H72" i="3"/>
  <c r="G72" i="3"/>
  <c r="F72" i="3"/>
  <c r="H71" i="3"/>
  <c r="G71" i="3"/>
  <c r="F71" i="3"/>
  <c r="H70" i="3"/>
  <c r="G70" i="3"/>
  <c r="F70" i="3"/>
  <c r="H81" i="3"/>
  <c r="G81" i="3"/>
  <c r="F81" i="3"/>
  <c r="I57" i="3"/>
  <c r="J57" i="3"/>
  <c r="K57" i="3"/>
  <c r="L57" i="3"/>
  <c r="M57" i="3"/>
  <c r="N57" i="3"/>
  <c r="H58" i="3"/>
  <c r="G58" i="3"/>
  <c r="F58" i="3"/>
  <c r="H54" i="3"/>
  <c r="G54" i="3"/>
  <c r="F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G49" i="3"/>
  <c r="F49" i="3"/>
  <c r="H48" i="3"/>
  <c r="G48" i="3"/>
  <c r="F48" i="3"/>
  <c r="H47" i="3"/>
  <c r="G47" i="3"/>
  <c r="F47" i="3"/>
  <c r="H46" i="3"/>
  <c r="G46" i="3"/>
  <c r="F46" i="3"/>
  <c r="H43" i="3"/>
  <c r="G43" i="3"/>
  <c r="F43" i="3"/>
  <c r="H42" i="3"/>
  <c r="G42" i="3"/>
  <c r="F42" i="3"/>
  <c r="H41" i="3"/>
  <c r="G41" i="3"/>
  <c r="F41" i="3"/>
  <c r="H40" i="3"/>
  <c r="G40" i="3"/>
  <c r="F40" i="3"/>
  <c r="H55" i="3"/>
  <c r="G55" i="3"/>
  <c r="F55" i="3"/>
  <c r="H36" i="3"/>
  <c r="G36" i="3"/>
  <c r="F36" i="3"/>
  <c r="H34" i="3"/>
  <c r="G34" i="3"/>
  <c r="F34" i="3"/>
  <c r="H33" i="3"/>
  <c r="G33" i="3"/>
  <c r="F33" i="3"/>
  <c r="H32" i="3"/>
  <c r="G32" i="3"/>
  <c r="F32" i="3"/>
  <c r="F156" i="2" l="1"/>
  <c r="H79" i="2"/>
  <c r="G128" i="3"/>
  <c r="H128" i="3"/>
  <c r="G148" i="6"/>
  <c r="F198" i="3"/>
  <c r="H148" i="6"/>
  <c r="F148" i="2"/>
  <c r="L113" i="3"/>
  <c r="N113" i="3"/>
  <c r="F235" i="3"/>
  <c r="G148" i="2"/>
  <c r="H148" i="2"/>
  <c r="H145" i="3"/>
  <c r="F239" i="3"/>
  <c r="F145" i="3"/>
  <c r="G79" i="2"/>
  <c r="F254" i="3"/>
  <c r="F246" i="3"/>
  <c r="F215" i="3"/>
  <c r="F203" i="3"/>
  <c r="F179" i="3"/>
  <c r="M113" i="3"/>
  <c r="F258" i="3"/>
  <c r="F250" i="3"/>
  <c r="F208" i="3"/>
  <c r="F159" i="3"/>
  <c r="J113" i="3"/>
  <c r="K113" i="3"/>
  <c r="G145" i="3"/>
  <c r="I113" i="3"/>
  <c r="F128" i="3"/>
  <c r="F153" i="2" l="1"/>
  <c r="F154" i="6"/>
  <c r="F245" i="3"/>
  <c r="F243" i="3" s="1"/>
  <c r="F197" i="3" s="1"/>
  <c r="F193" i="2" l="1"/>
  <c r="F190" i="2" s="1"/>
  <c r="F187" i="6"/>
  <c r="F185" i="6" s="1"/>
  <c r="F153" i="6"/>
  <c r="F68" i="6"/>
  <c r="AA264" i="6" l="1"/>
  <c r="AA260" i="6" s="1"/>
  <c r="AA238" i="6" s="1"/>
  <c r="F218" i="6"/>
  <c r="AA231" i="6"/>
  <c r="F66" i="6"/>
  <c r="B3" i="5"/>
  <c r="AA226" i="6" l="1"/>
  <c r="AA280" i="6" s="1"/>
  <c r="Q231" i="6"/>
  <c r="F114" i="2" l="1"/>
  <c r="G114" i="2"/>
  <c r="H114" i="2"/>
  <c r="Q23" i="5"/>
  <c r="P23" i="5"/>
  <c r="O23" i="5"/>
  <c r="N23" i="5"/>
  <c r="M23" i="5"/>
  <c r="L23" i="5"/>
  <c r="K23" i="5"/>
  <c r="J23" i="5"/>
  <c r="I23" i="5"/>
  <c r="H23" i="5"/>
  <c r="G23" i="5"/>
  <c r="F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B1" i="5"/>
  <c r="L269" i="3"/>
  <c r="K269" i="3"/>
  <c r="J269" i="3"/>
  <c r="I269" i="3"/>
  <c r="L267" i="3"/>
  <c r="L268" i="3" s="1"/>
  <c r="K267" i="3"/>
  <c r="K268" i="3" s="1"/>
  <c r="J267" i="3"/>
  <c r="J268" i="3" s="1"/>
  <c r="I267" i="3"/>
  <c r="I268" i="3" s="1"/>
  <c r="H261" i="3"/>
  <c r="G261" i="3"/>
  <c r="H260" i="3"/>
  <c r="G260" i="3"/>
  <c r="H259" i="3"/>
  <c r="G259" i="3"/>
  <c r="N258" i="3"/>
  <c r="M258" i="3"/>
  <c r="L258" i="3"/>
  <c r="K258" i="3"/>
  <c r="J258" i="3"/>
  <c r="I258" i="3"/>
  <c r="H257" i="3"/>
  <c r="G257" i="3"/>
  <c r="H256" i="3"/>
  <c r="G256" i="3"/>
  <c r="H255" i="3"/>
  <c r="G255" i="3"/>
  <c r="N254" i="3"/>
  <c r="M254" i="3"/>
  <c r="L254" i="3"/>
  <c r="K254" i="3"/>
  <c r="J254" i="3"/>
  <c r="I254" i="3"/>
  <c r="H253" i="3"/>
  <c r="G253" i="3"/>
  <c r="H252" i="3"/>
  <c r="G252" i="3"/>
  <c r="H251" i="3"/>
  <c r="G251" i="3"/>
  <c r="N250" i="3"/>
  <c r="M250" i="3"/>
  <c r="L250" i="3"/>
  <c r="K250" i="3"/>
  <c r="J250" i="3"/>
  <c r="I250" i="3"/>
  <c r="H249" i="3"/>
  <c r="G249" i="3"/>
  <c r="H248" i="3"/>
  <c r="G248" i="3"/>
  <c r="H247" i="3"/>
  <c r="G247" i="3"/>
  <c r="N246" i="3"/>
  <c r="M246" i="3"/>
  <c r="L246" i="3"/>
  <c r="K246" i="3"/>
  <c r="J246" i="3"/>
  <c r="I246" i="3"/>
  <c r="H242" i="3"/>
  <c r="G242" i="3"/>
  <c r="H241" i="3"/>
  <c r="G241" i="3"/>
  <c r="H240" i="3"/>
  <c r="G240" i="3"/>
  <c r="N239" i="3"/>
  <c r="M239" i="3"/>
  <c r="L239" i="3"/>
  <c r="K239" i="3"/>
  <c r="J239" i="3"/>
  <c r="I239" i="3"/>
  <c r="H238" i="3"/>
  <c r="G238" i="3"/>
  <c r="H237" i="3"/>
  <c r="G237" i="3"/>
  <c r="H236" i="3"/>
  <c r="G236" i="3"/>
  <c r="N235" i="3"/>
  <c r="M235" i="3"/>
  <c r="L235" i="3"/>
  <c r="K235" i="3"/>
  <c r="J235" i="3"/>
  <c r="I235" i="3"/>
  <c r="H234" i="3"/>
  <c r="G234" i="3"/>
  <c r="H233" i="3"/>
  <c r="G233" i="3"/>
  <c r="H232" i="3"/>
  <c r="G232" i="3"/>
  <c r="H231" i="3"/>
  <c r="G231" i="3"/>
  <c r="H230" i="3"/>
  <c r="G230" i="3"/>
  <c r="H229" i="3"/>
  <c r="G229" i="3"/>
  <c r="H228" i="3"/>
  <c r="G228" i="3"/>
  <c r="H227" i="3"/>
  <c r="G227" i="3"/>
  <c r="H226" i="3"/>
  <c r="G226" i="3"/>
  <c r="H225" i="3"/>
  <c r="G225" i="3"/>
  <c r="H224" i="3"/>
  <c r="G224" i="3"/>
  <c r="H223" i="3"/>
  <c r="G223" i="3"/>
  <c r="H222" i="3"/>
  <c r="G222" i="3"/>
  <c r="H221" i="3"/>
  <c r="G221" i="3"/>
  <c r="H220" i="3"/>
  <c r="G220" i="3"/>
  <c r="H219" i="3"/>
  <c r="G219" i="3"/>
  <c r="H218" i="3"/>
  <c r="G218" i="3"/>
  <c r="H217" i="3"/>
  <c r="G217" i="3"/>
  <c r="H216" i="3"/>
  <c r="G216" i="3"/>
  <c r="N215" i="3"/>
  <c r="M215" i="3"/>
  <c r="L215" i="3"/>
  <c r="K215" i="3"/>
  <c r="J215" i="3"/>
  <c r="H214" i="3"/>
  <c r="G214" i="3"/>
  <c r="H210" i="3"/>
  <c r="G210" i="3"/>
  <c r="H209" i="3"/>
  <c r="H208" i="3" s="1"/>
  <c r="G209" i="3"/>
  <c r="N208" i="3"/>
  <c r="M208" i="3"/>
  <c r="L208" i="3"/>
  <c r="K208" i="3"/>
  <c r="J208" i="3"/>
  <c r="H207" i="3"/>
  <c r="H269" i="3" s="1"/>
  <c r="G207" i="3"/>
  <c r="G269" i="3" s="1"/>
  <c r="H206" i="3"/>
  <c r="G206" i="3"/>
  <c r="H205" i="3"/>
  <c r="G205" i="3"/>
  <c r="H204" i="3"/>
  <c r="H203" i="3" s="1"/>
  <c r="G204" i="3"/>
  <c r="N203" i="3"/>
  <c r="M203" i="3"/>
  <c r="L203" i="3"/>
  <c r="K203" i="3"/>
  <c r="J203" i="3"/>
  <c r="I203" i="3"/>
  <c r="H202" i="3"/>
  <c r="G202" i="3"/>
  <c r="H200" i="3"/>
  <c r="G200" i="3"/>
  <c r="N198" i="3"/>
  <c r="N197" i="3" s="1"/>
  <c r="M198" i="3"/>
  <c r="L198" i="3"/>
  <c r="K198" i="3"/>
  <c r="J198" i="3"/>
  <c r="I198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N179" i="3"/>
  <c r="M179" i="3"/>
  <c r="L179" i="3"/>
  <c r="K179" i="3"/>
  <c r="J179" i="3"/>
  <c r="I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N159" i="3"/>
  <c r="M159" i="3"/>
  <c r="L159" i="3"/>
  <c r="K159" i="3"/>
  <c r="J159" i="3"/>
  <c r="I159" i="3"/>
  <c r="H158" i="3"/>
  <c r="G158" i="3"/>
  <c r="H157" i="3"/>
  <c r="G157" i="3"/>
  <c r="H156" i="3"/>
  <c r="G156" i="3"/>
  <c r="H155" i="3"/>
  <c r="G155" i="3"/>
  <c r="H123" i="3"/>
  <c r="H122" i="3" s="1"/>
  <c r="H113" i="3" s="1"/>
  <c r="G123" i="3"/>
  <c r="G122" i="3" s="1"/>
  <c r="G113" i="3" s="1"/>
  <c r="F123" i="3"/>
  <c r="F122" i="3" s="1"/>
  <c r="F113" i="3" s="1"/>
  <c r="H112" i="3"/>
  <c r="E8" i="5" s="1"/>
  <c r="G112" i="3"/>
  <c r="D8" i="5" s="1"/>
  <c r="F112" i="3"/>
  <c r="C8" i="5" s="1"/>
  <c r="N111" i="3"/>
  <c r="M111" i="3"/>
  <c r="L111" i="3"/>
  <c r="K111" i="3"/>
  <c r="J111" i="3"/>
  <c r="I111" i="3"/>
  <c r="H110" i="3"/>
  <c r="G110" i="3"/>
  <c r="F110" i="3"/>
  <c r="H109" i="3"/>
  <c r="G109" i="3"/>
  <c r="F108" i="3"/>
  <c r="H108" i="3"/>
  <c r="G108" i="3"/>
  <c r="H107" i="3"/>
  <c r="G107" i="3"/>
  <c r="F107" i="3"/>
  <c r="H106" i="3"/>
  <c r="G106" i="3"/>
  <c r="F106" i="3"/>
  <c r="H105" i="3"/>
  <c r="G105" i="3"/>
  <c r="F105" i="3"/>
  <c r="N104" i="3"/>
  <c r="M104" i="3"/>
  <c r="L104" i="3"/>
  <c r="K104" i="3"/>
  <c r="J104" i="3"/>
  <c r="I104" i="3"/>
  <c r="H103" i="3"/>
  <c r="G103" i="3"/>
  <c r="F103" i="3"/>
  <c r="H99" i="3"/>
  <c r="G99" i="3"/>
  <c r="F99" i="3"/>
  <c r="H98" i="3"/>
  <c r="G98" i="3"/>
  <c r="F98" i="3"/>
  <c r="H95" i="3"/>
  <c r="G95" i="3"/>
  <c r="F95" i="3"/>
  <c r="L266" i="3"/>
  <c r="K266" i="3"/>
  <c r="J266" i="3"/>
  <c r="I266" i="3"/>
  <c r="H90" i="3"/>
  <c r="G90" i="3"/>
  <c r="F90" i="3"/>
  <c r="H89" i="3"/>
  <c r="G89" i="3"/>
  <c r="H88" i="3"/>
  <c r="G88" i="3"/>
  <c r="F88" i="3"/>
  <c r="H87" i="3"/>
  <c r="G87" i="3"/>
  <c r="H86" i="3"/>
  <c r="G86" i="3"/>
  <c r="F86" i="3"/>
  <c r="H85" i="3"/>
  <c r="G85" i="3"/>
  <c r="F85" i="3"/>
  <c r="H82" i="3"/>
  <c r="G82" i="3"/>
  <c r="F82" i="3"/>
  <c r="H69" i="3"/>
  <c r="G69" i="3"/>
  <c r="F69" i="3"/>
  <c r="H68" i="3"/>
  <c r="G68" i="3"/>
  <c r="F68" i="3"/>
  <c r="H67" i="3"/>
  <c r="G67" i="3"/>
  <c r="F67" i="3"/>
  <c r="H66" i="3"/>
  <c r="G66" i="3"/>
  <c r="F66" i="3"/>
  <c r="H65" i="3"/>
  <c r="G65" i="3"/>
  <c r="F65" i="3"/>
  <c r="H64" i="3"/>
  <c r="G64" i="3"/>
  <c r="F64" i="3"/>
  <c r="H63" i="3"/>
  <c r="G63" i="3"/>
  <c r="F63" i="3"/>
  <c r="H62" i="3"/>
  <c r="G62" i="3"/>
  <c r="F62" i="3"/>
  <c r="H61" i="3"/>
  <c r="G61" i="3"/>
  <c r="F61" i="3"/>
  <c r="N60" i="3"/>
  <c r="M60" i="3"/>
  <c r="L60" i="3"/>
  <c r="K60" i="3"/>
  <c r="J60" i="3"/>
  <c r="H59" i="3"/>
  <c r="H57" i="3" s="1"/>
  <c r="G59" i="3"/>
  <c r="G57" i="3" s="1"/>
  <c r="F59" i="3"/>
  <c r="F57" i="3" s="1"/>
  <c r="H56" i="3"/>
  <c r="G56" i="3"/>
  <c r="F56" i="3"/>
  <c r="H39" i="3"/>
  <c r="G39" i="3"/>
  <c r="F39" i="3"/>
  <c r="H38" i="3"/>
  <c r="G38" i="3"/>
  <c r="F38" i="3"/>
  <c r="H37" i="3"/>
  <c r="G37" i="3"/>
  <c r="F37" i="3"/>
  <c r="H35" i="3"/>
  <c r="G35" i="3"/>
  <c r="F35" i="3"/>
  <c r="H31" i="3"/>
  <c r="G31" i="3"/>
  <c r="F31" i="3"/>
  <c r="H30" i="3"/>
  <c r="G30" i="3"/>
  <c r="F30" i="3"/>
  <c r="H29" i="3"/>
  <c r="G29" i="3"/>
  <c r="F29" i="3"/>
  <c r="H28" i="3"/>
  <c r="G28" i="3"/>
  <c r="F28" i="3"/>
  <c r="H27" i="3"/>
  <c r="G27" i="3"/>
  <c r="F27" i="3"/>
  <c r="H26" i="3"/>
  <c r="F26" i="3"/>
  <c r="H25" i="3"/>
  <c r="G25" i="3"/>
  <c r="F25" i="3"/>
  <c r="H24" i="3"/>
  <c r="G24" i="3"/>
  <c r="H23" i="3"/>
  <c r="G23" i="3"/>
  <c r="F23" i="3"/>
  <c r="H22" i="3"/>
  <c r="G22" i="3"/>
  <c r="F22" i="3"/>
  <c r="N21" i="3"/>
  <c r="M21" i="3"/>
  <c r="L21" i="3"/>
  <c r="K21" i="3"/>
  <c r="J21" i="3"/>
  <c r="H20" i="3"/>
  <c r="G20" i="3"/>
  <c r="F20" i="3"/>
  <c r="H19" i="3"/>
  <c r="G19" i="3"/>
  <c r="H16" i="3"/>
  <c r="G16" i="3"/>
  <c r="F16" i="3"/>
  <c r="F15" i="3"/>
  <c r="H15" i="3"/>
  <c r="G15" i="3"/>
  <c r="H14" i="3"/>
  <c r="G14" i="3"/>
  <c r="N13" i="3"/>
  <c r="M13" i="3"/>
  <c r="L13" i="3"/>
  <c r="K13" i="3"/>
  <c r="I13" i="3"/>
  <c r="H12" i="3"/>
  <c r="G12" i="3"/>
  <c r="H11" i="3"/>
  <c r="G11" i="3"/>
  <c r="F11" i="3"/>
  <c r="F9" i="3"/>
  <c r="H7" i="3"/>
  <c r="G7" i="3"/>
  <c r="M3" i="3"/>
  <c r="N3" i="3" s="1"/>
  <c r="J3" i="3"/>
  <c r="K3" i="3" s="1"/>
  <c r="G3" i="3"/>
  <c r="H3" i="3" s="1"/>
  <c r="T23" i="5"/>
  <c r="S23" i="5"/>
  <c r="S24" i="5" s="1"/>
  <c r="R23" i="5"/>
  <c r="R24" i="5" s="1"/>
  <c r="E4" i="5"/>
  <c r="H4" i="5" s="1"/>
  <c r="K4" i="5" s="1"/>
  <c r="N4" i="5" s="1"/>
  <c r="Q4" i="5" s="1"/>
  <c r="T4" i="5" s="1"/>
  <c r="W4" i="5" s="1"/>
  <c r="D4" i="5"/>
  <c r="G4" i="5" s="1"/>
  <c r="J4" i="5" s="1"/>
  <c r="M4" i="5" s="1"/>
  <c r="P4" i="5" s="1"/>
  <c r="S4" i="5" s="1"/>
  <c r="V4" i="5" s="1"/>
  <c r="C4" i="5"/>
  <c r="F4" i="5" s="1"/>
  <c r="I4" i="5" s="1"/>
  <c r="L4" i="5" s="1"/>
  <c r="O4" i="5" s="1"/>
  <c r="R4" i="5" s="1"/>
  <c r="U4" i="5" s="1"/>
  <c r="H170" i="2"/>
  <c r="G170" i="2"/>
  <c r="H166" i="2"/>
  <c r="G166" i="2"/>
  <c r="F166" i="2"/>
  <c r="I160" i="2"/>
  <c r="H160" i="2"/>
  <c r="G160" i="2"/>
  <c r="F160" i="2"/>
  <c r="I158" i="2"/>
  <c r="H158" i="2"/>
  <c r="G158" i="2"/>
  <c r="F158" i="2"/>
  <c r="I157" i="2"/>
  <c r="H157" i="2"/>
  <c r="G157" i="2"/>
  <c r="F157" i="2"/>
  <c r="I153" i="2"/>
  <c r="I149" i="2"/>
  <c r="H149" i="2"/>
  <c r="G149" i="2"/>
  <c r="F149" i="2"/>
  <c r="I145" i="2"/>
  <c r="I142" i="2"/>
  <c r="H142" i="2"/>
  <c r="G142" i="2"/>
  <c r="F142" i="2"/>
  <c r="I138" i="2"/>
  <c r="H138" i="2"/>
  <c r="G138" i="2"/>
  <c r="F138" i="2"/>
  <c r="H134" i="2"/>
  <c r="H133" i="2" s="1"/>
  <c r="G134" i="2"/>
  <c r="G133" i="2" s="1"/>
  <c r="F134" i="2"/>
  <c r="F133" i="2" s="1"/>
  <c r="H129" i="2"/>
  <c r="G129" i="2"/>
  <c r="F129" i="2"/>
  <c r="H125" i="2"/>
  <c r="G125" i="2"/>
  <c r="F125" i="2"/>
  <c r="H121" i="2"/>
  <c r="G121" i="2"/>
  <c r="F121" i="2"/>
  <c r="H117" i="2"/>
  <c r="F117" i="2"/>
  <c r="G117" i="2"/>
  <c r="G111" i="2"/>
  <c r="H111" i="2"/>
  <c r="F111" i="2"/>
  <c r="H108" i="2"/>
  <c r="G108" i="2"/>
  <c r="F108" i="2"/>
  <c r="H106" i="2"/>
  <c r="G106" i="2"/>
  <c r="F106" i="2"/>
  <c r="H104" i="2"/>
  <c r="G104" i="2"/>
  <c r="F104" i="2"/>
  <c r="H102" i="2"/>
  <c r="G102" i="2"/>
  <c r="F102" i="2"/>
  <c r="H99" i="2"/>
  <c r="G99" i="2"/>
  <c r="F99" i="2"/>
  <c r="H94" i="2"/>
  <c r="G94" i="2"/>
  <c r="F94" i="2"/>
  <c r="H90" i="2"/>
  <c r="G90" i="2"/>
  <c r="H86" i="2"/>
  <c r="G86" i="2"/>
  <c r="F86" i="2"/>
  <c r="H83" i="2"/>
  <c r="G83" i="2"/>
  <c r="F83" i="2"/>
  <c r="I72" i="2"/>
  <c r="H72" i="2"/>
  <c r="G72" i="2"/>
  <c r="F72" i="2"/>
  <c r="I70" i="2"/>
  <c r="H70" i="2"/>
  <c r="G70" i="2"/>
  <c r="F70" i="2"/>
  <c r="I62" i="2"/>
  <c r="I60" i="2" s="1"/>
  <c r="H199" i="2" l="1"/>
  <c r="H224" i="2"/>
  <c r="M6" i="3"/>
  <c r="M5" i="3" s="1"/>
  <c r="F199" i="2"/>
  <c r="F196" i="2" s="1"/>
  <c r="F224" i="2"/>
  <c r="G199" i="2"/>
  <c r="G196" i="2" s="1"/>
  <c r="G224" i="2"/>
  <c r="I6" i="3"/>
  <c r="I5" i="3" s="1"/>
  <c r="F63" i="2" s="1"/>
  <c r="F146" i="2"/>
  <c r="F145" i="2" s="1"/>
  <c r="T24" i="5"/>
  <c r="G13" i="3"/>
  <c r="H13" i="3"/>
  <c r="H215" i="3"/>
  <c r="H235" i="3"/>
  <c r="H239" i="3"/>
  <c r="H250" i="3"/>
  <c r="H258" i="3"/>
  <c r="K6" i="3"/>
  <c r="J6" i="3"/>
  <c r="H146" i="2"/>
  <c r="H145" i="2" s="1"/>
  <c r="L6" i="3"/>
  <c r="L5" i="3" s="1"/>
  <c r="N6" i="3"/>
  <c r="G146" i="2"/>
  <c r="G145" i="2" s="1"/>
  <c r="H196" i="2"/>
  <c r="L263" i="3"/>
  <c r="L264" i="3" s="1"/>
  <c r="G146" i="6"/>
  <c r="G145" i="6" s="1"/>
  <c r="G184" i="6" s="1"/>
  <c r="G182" i="6" s="1"/>
  <c r="H146" i="6"/>
  <c r="H145" i="6" s="1"/>
  <c r="F146" i="6"/>
  <c r="F145" i="6" s="1"/>
  <c r="F184" i="6" s="1"/>
  <c r="G89" i="2"/>
  <c r="G78" i="2" s="1"/>
  <c r="G120" i="2"/>
  <c r="F98" i="2"/>
  <c r="F97" i="2" s="1"/>
  <c r="H98" i="2"/>
  <c r="H97" i="2" s="1"/>
  <c r="G98" i="2"/>
  <c r="G97" i="2" s="1"/>
  <c r="H89" i="2"/>
  <c r="H78" i="2" s="1"/>
  <c r="I144" i="2"/>
  <c r="H110" i="2"/>
  <c r="G159" i="3"/>
  <c r="G179" i="3"/>
  <c r="G24" i="5"/>
  <c r="I24" i="5"/>
  <c r="K24" i="5"/>
  <c r="M24" i="5"/>
  <c r="O24" i="5"/>
  <c r="Q24" i="5"/>
  <c r="F120" i="2"/>
  <c r="H120" i="2"/>
  <c r="K245" i="3"/>
  <c r="K243" i="3" s="1"/>
  <c r="K197" i="3" s="1"/>
  <c r="G250" i="3"/>
  <c r="G258" i="3"/>
  <c r="F24" i="5"/>
  <c r="H24" i="5"/>
  <c r="J24" i="5"/>
  <c r="L24" i="5"/>
  <c r="N24" i="5"/>
  <c r="P24" i="5"/>
  <c r="F111" i="3"/>
  <c r="M197" i="3"/>
  <c r="H198" i="3"/>
  <c r="G198" i="3"/>
  <c r="G208" i="3"/>
  <c r="G235" i="3"/>
  <c r="I245" i="3"/>
  <c r="I243" i="3" s="1"/>
  <c r="I197" i="3" s="1"/>
  <c r="F67" i="2" s="1"/>
  <c r="M245" i="3"/>
  <c r="M243" i="3" s="1"/>
  <c r="H246" i="3"/>
  <c r="F91" i="3"/>
  <c r="F266" i="3" s="1"/>
  <c r="H104" i="3"/>
  <c r="G104" i="3"/>
  <c r="G91" i="3"/>
  <c r="G266" i="3" s="1"/>
  <c r="H91" i="3"/>
  <c r="H266" i="3" s="1"/>
  <c r="I263" i="3"/>
  <c r="I264" i="3" s="1"/>
  <c r="K263" i="3"/>
  <c r="K264" i="3" s="1"/>
  <c r="H111" i="3"/>
  <c r="D7" i="5"/>
  <c r="H159" i="3"/>
  <c r="H179" i="3"/>
  <c r="G203" i="3"/>
  <c r="G215" i="3"/>
  <c r="G239" i="3"/>
  <c r="J245" i="3"/>
  <c r="J243" i="3" s="1"/>
  <c r="J197" i="3" s="1"/>
  <c r="L245" i="3"/>
  <c r="L243" i="3" s="1"/>
  <c r="L197" i="3" s="1"/>
  <c r="N245" i="3"/>
  <c r="N243" i="3" s="1"/>
  <c r="G246" i="3"/>
  <c r="H254" i="3"/>
  <c r="H21" i="3"/>
  <c r="H60" i="3"/>
  <c r="F60" i="3"/>
  <c r="E7" i="5"/>
  <c r="N5" i="3"/>
  <c r="G60" i="3"/>
  <c r="J263" i="3"/>
  <c r="J264" i="3" s="1"/>
  <c r="G111" i="3"/>
  <c r="F10" i="3"/>
  <c r="H267" i="3"/>
  <c r="H268" i="3" s="1"/>
  <c r="F91" i="2"/>
  <c r="G267" i="3"/>
  <c r="G268" i="3" s="1"/>
  <c r="G254" i="3"/>
  <c r="G110" i="2"/>
  <c r="F110" i="2"/>
  <c r="G10" i="3"/>
  <c r="F7" i="3"/>
  <c r="F14" i="3"/>
  <c r="F13" i="3" s="1"/>
  <c r="F24" i="3"/>
  <c r="F21" i="3" s="1"/>
  <c r="G26" i="3"/>
  <c r="G21" i="3" s="1"/>
  <c r="F87" i="3"/>
  <c r="F89" i="3"/>
  <c r="F109" i="3"/>
  <c r="F104" i="3" s="1"/>
  <c r="G189" i="2" l="1"/>
  <c r="G187" i="2" s="1"/>
  <c r="G225" i="2"/>
  <c r="H189" i="2"/>
  <c r="H187" i="2" s="1"/>
  <c r="H225" i="2"/>
  <c r="F90" i="2"/>
  <c r="F89" i="2" s="1"/>
  <c r="H245" i="3"/>
  <c r="H243" i="3" s="1"/>
  <c r="H197" i="3" s="1"/>
  <c r="F66" i="2"/>
  <c r="F6" i="3"/>
  <c r="F5" i="3" s="1"/>
  <c r="F189" i="2"/>
  <c r="F187" i="2" s="1"/>
  <c r="F186" i="2" s="1"/>
  <c r="I137" i="2"/>
  <c r="I179" i="2" s="1"/>
  <c r="G217" i="6"/>
  <c r="H184" i="6"/>
  <c r="H182" i="6" s="1"/>
  <c r="H217" i="6"/>
  <c r="G245" i="3"/>
  <c r="G243" i="3" s="1"/>
  <c r="G197" i="3" s="1"/>
  <c r="F144" i="6"/>
  <c r="F137" i="6" s="1"/>
  <c r="F175" i="6" s="1"/>
  <c r="V264" i="6"/>
  <c r="V260" i="6" s="1"/>
  <c r="H154" i="6"/>
  <c r="H154" i="2"/>
  <c r="G154" i="6"/>
  <c r="G154" i="2"/>
  <c r="F80" i="6"/>
  <c r="F80" i="2"/>
  <c r="F225" i="2" s="1"/>
  <c r="F182" i="6"/>
  <c r="F181" i="6" s="1"/>
  <c r="F197" i="6" s="1"/>
  <c r="AI295" i="6" s="1"/>
  <c r="F196" i="6"/>
  <c r="F63" i="6"/>
  <c r="N4" i="3"/>
  <c r="I4" i="3"/>
  <c r="M4" i="3"/>
  <c r="H263" i="3"/>
  <c r="H264" i="3" s="1"/>
  <c r="L4" i="3"/>
  <c r="D6" i="5"/>
  <c r="D5" i="5" s="1"/>
  <c r="G263" i="3"/>
  <c r="G264" i="3" s="1"/>
  <c r="E6" i="5"/>
  <c r="E5" i="5" s="1"/>
  <c r="C7" i="5"/>
  <c r="C6" i="5"/>
  <c r="F263" i="3"/>
  <c r="F264" i="3" s="1"/>
  <c r="J5" i="3"/>
  <c r="G63" i="6" s="1"/>
  <c r="G62" i="6" s="1"/>
  <c r="G9" i="3"/>
  <c r="G6" i="3" s="1"/>
  <c r="H10" i="3"/>
  <c r="H67" i="2" l="1"/>
  <c r="H66" i="2" s="1"/>
  <c r="H68" i="6"/>
  <c r="H66" i="6" s="1"/>
  <c r="F205" i="2"/>
  <c r="Q264" i="6"/>
  <c r="F204" i="2"/>
  <c r="I77" i="2"/>
  <c r="I59" i="2" s="1"/>
  <c r="I219" i="2"/>
  <c r="I222" i="2"/>
  <c r="G153" i="2"/>
  <c r="G187" i="6"/>
  <c r="G153" i="6"/>
  <c r="H187" i="6"/>
  <c r="H153" i="6"/>
  <c r="G67" i="2"/>
  <c r="G66" i="2" s="1"/>
  <c r="G68" i="6"/>
  <c r="G66" i="6" s="1"/>
  <c r="G60" i="6" s="1"/>
  <c r="H153" i="2"/>
  <c r="H193" i="2" s="1"/>
  <c r="H204" i="2" s="1"/>
  <c r="F79" i="2"/>
  <c r="F78" i="2" s="1"/>
  <c r="F79" i="6"/>
  <c r="F78" i="6" s="1"/>
  <c r="F77" i="6" s="1"/>
  <c r="V243" i="6"/>
  <c r="F217" i="6"/>
  <c r="F144" i="2"/>
  <c r="F137" i="2" s="1"/>
  <c r="F179" i="2" s="1"/>
  <c r="F219" i="2" s="1"/>
  <c r="F211" i="6"/>
  <c r="F214" i="6"/>
  <c r="K295" i="6"/>
  <c r="AI294" i="6"/>
  <c r="Q260" i="6"/>
  <c r="F213" i="6"/>
  <c r="V229" i="6"/>
  <c r="F62" i="6"/>
  <c r="F60" i="6" s="1"/>
  <c r="U23" i="5"/>
  <c r="U24" i="5" s="1"/>
  <c r="F226" i="2"/>
  <c r="F62" i="2"/>
  <c r="F60" i="2" s="1"/>
  <c r="G5" i="3"/>
  <c r="G4" i="3" s="1"/>
  <c r="J4" i="3"/>
  <c r="G63" i="2"/>
  <c r="G62" i="2" s="1"/>
  <c r="H9" i="3"/>
  <c r="H6" i="3" s="1"/>
  <c r="K5" i="3"/>
  <c r="H63" i="6" s="1"/>
  <c r="H62" i="6" s="1"/>
  <c r="H60" i="6" s="1"/>
  <c r="C5" i="5"/>
  <c r="F269" i="3"/>
  <c r="F267" i="3"/>
  <c r="F4" i="3"/>
  <c r="H190" i="2" l="1"/>
  <c r="H186" i="2" s="1"/>
  <c r="H207" i="2" s="1"/>
  <c r="G226" i="2"/>
  <c r="G193" i="2"/>
  <c r="G144" i="2"/>
  <c r="G137" i="2" s="1"/>
  <c r="G179" i="2" s="1"/>
  <c r="G60" i="2"/>
  <c r="W23" i="5"/>
  <c r="W24" i="5" s="1"/>
  <c r="H226" i="2"/>
  <c r="H144" i="2"/>
  <c r="H137" i="2" s="1"/>
  <c r="H179" i="2" s="1"/>
  <c r="H185" i="6"/>
  <c r="H181" i="6" s="1"/>
  <c r="H199" i="6" s="1"/>
  <c r="AQ297" i="6" s="1"/>
  <c r="H196" i="6"/>
  <c r="G185" i="6"/>
  <c r="G181" i="6" s="1"/>
  <c r="G198" i="6" s="1"/>
  <c r="AM296" i="6" s="1"/>
  <c r="G196" i="6"/>
  <c r="H218" i="6"/>
  <c r="H144" i="6"/>
  <c r="H137" i="6" s="1"/>
  <c r="G218" i="6"/>
  <c r="G144" i="6"/>
  <c r="G137" i="6" s="1"/>
  <c r="Q243" i="6"/>
  <c r="V241" i="6"/>
  <c r="AI291" i="6"/>
  <c r="K294" i="6"/>
  <c r="K291" i="6" s="1"/>
  <c r="V226" i="6"/>
  <c r="Q229" i="6"/>
  <c r="Q226" i="6" s="1"/>
  <c r="J60" i="6"/>
  <c r="F59" i="6"/>
  <c r="F221" i="2"/>
  <c r="F268" i="3"/>
  <c r="K4" i="3"/>
  <c r="H63" i="2"/>
  <c r="H62" i="2" s="1"/>
  <c r="H60" i="2" s="1"/>
  <c r="H5" i="3"/>
  <c r="H4" i="3" s="1"/>
  <c r="D23" i="5" l="1"/>
  <c r="D24" i="5" s="1"/>
  <c r="G190" i="2"/>
  <c r="G186" i="2" s="1"/>
  <c r="G206" i="2" s="1"/>
  <c r="G204" i="2"/>
  <c r="V23" i="5"/>
  <c r="V24" i="5" s="1"/>
  <c r="F77" i="2"/>
  <c r="F59" i="2" s="1"/>
  <c r="C23" i="5"/>
  <c r="C24" i="5" s="1"/>
  <c r="G77" i="2"/>
  <c r="G59" i="2" s="1"/>
  <c r="H221" i="2"/>
  <c r="O296" i="6"/>
  <c r="AM294" i="6"/>
  <c r="AQ294" i="6"/>
  <c r="S297" i="6"/>
  <c r="G175" i="6"/>
  <c r="G77" i="6"/>
  <c r="G59" i="6" s="1"/>
  <c r="H175" i="6"/>
  <c r="H77" i="6"/>
  <c r="H59" i="6" s="1"/>
  <c r="G213" i="6"/>
  <c r="H213" i="6"/>
  <c r="H77" i="2"/>
  <c r="H59" i="2" s="1"/>
  <c r="E23" i="5"/>
  <c r="E24" i="5" s="1"/>
  <c r="Q241" i="6"/>
  <c r="V239" i="6"/>
  <c r="F222" i="2"/>
  <c r="AU226" i="6"/>
  <c r="G219" i="2" l="1"/>
  <c r="J60" i="2"/>
  <c r="G222" i="2"/>
  <c r="G221" i="2"/>
  <c r="AQ291" i="6"/>
  <c r="S294" i="6"/>
  <c r="S291" i="6" s="1"/>
  <c r="H219" i="2"/>
  <c r="H222" i="2"/>
  <c r="H211" i="6"/>
  <c r="H214" i="6"/>
  <c r="G211" i="6"/>
  <c r="G214" i="6"/>
  <c r="AM291" i="6"/>
  <c r="O294" i="6"/>
  <c r="O291" i="6" s="1"/>
  <c r="Q239" i="6"/>
  <c r="V238" i="6"/>
  <c r="Q238" i="6" l="1"/>
  <c r="V280" i="6"/>
  <c r="AU238" i="6" l="1"/>
  <c r="Q280" i="6"/>
</calcChain>
</file>

<file path=xl/comments1.xml><?xml version="1.0" encoding="utf-8"?>
<comments xmlns="http://schemas.openxmlformats.org/spreadsheetml/2006/main">
  <authors>
    <author>Юлия Анатольевна Брусова</author>
  </authors>
  <commentList>
    <comment ref="F63" authorId="0" shapeId="0">
      <text>
        <r>
          <rPr>
            <sz val="9"/>
            <color indexed="81"/>
            <rFont val="Tahoma"/>
            <family val="2"/>
            <charset val="204"/>
          </rPr>
          <t xml:space="preserve">
отнять возвраты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204"/>
          </rPr>
          <t xml:space="preserve">
возвраты</t>
        </r>
      </text>
    </comment>
  </commentList>
</comments>
</file>

<file path=xl/comments2.xml><?xml version="1.0" encoding="utf-8"?>
<comments xmlns="http://schemas.openxmlformats.org/spreadsheetml/2006/main">
  <authors>
    <author>Светлана Николаевна Какошина</author>
    <author>Lenovo</author>
  </authors>
  <commentList>
    <comment ref="G197" authorId="0" shapeId="0">
      <text>
        <r>
          <rPr>
            <b/>
            <sz val="9"/>
            <color indexed="81"/>
            <rFont val="Tahoma"/>
            <family val="2"/>
            <charset val="204"/>
          </rPr>
          <t>дек.2020</t>
        </r>
      </text>
    </comment>
    <comment ref="H198" authorId="1" shapeId="0">
      <text>
        <r>
          <rPr>
            <b/>
            <sz val="9"/>
            <color indexed="81"/>
            <rFont val="Tahoma"/>
            <family val="2"/>
            <charset val="204"/>
          </rPr>
          <t>декабрь 2021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SEREGA</author>
  </authors>
  <commentList>
    <comment ref="I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утвержденный бюджет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 соответствии с утвержденным бюджетом
</t>
        </r>
      </text>
    </comment>
  </commentList>
</comments>
</file>

<file path=xl/comments4.xml><?xml version="1.0" encoding="utf-8"?>
<comments xmlns="http://schemas.openxmlformats.org/spreadsheetml/2006/main">
  <authors>
    <author>Светлана Николаевна Какошина</author>
    <author>Юлия Анатольевна Брусова</author>
    <author>Светлана Анатольевна Правосудова</author>
    <author>Маргарита Юрьевна Арсиенко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ПЖРЭТ, дезинфекция, вывоз мусора, тепло</t>
        </r>
      </text>
    </comment>
    <comment ref="C3" authorId="1" shapeId="0">
      <text>
        <r>
          <rPr>
            <sz val="9"/>
            <color indexed="81"/>
            <rFont val="Tahoma"/>
            <family val="2"/>
            <charset val="204"/>
          </rPr>
          <t xml:space="preserve">
то тепла</t>
        </r>
      </text>
    </comment>
    <comment ref="D3" authorId="1" shapeId="0">
      <text>
        <r>
          <rPr>
            <sz val="9"/>
            <color indexed="81"/>
            <rFont val="Tahoma"/>
            <family val="2"/>
            <charset val="204"/>
          </rPr>
          <t xml:space="preserve">
вневед.охр., то видеонабл., лиц.охр.</t>
        </r>
      </text>
    </comment>
    <comment ref="E3" authorId="1" shapeId="0">
      <text>
        <r>
          <rPr>
            <sz val="9"/>
            <color indexed="81"/>
            <rFont val="Tahoma"/>
            <family val="2"/>
            <charset val="204"/>
          </rPr>
          <t xml:space="preserve">
мониторинг апс, то апс</t>
        </r>
      </text>
    </comment>
    <comment ref="H3" authorId="1" shapeId="0">
      <text>
        <r>
          <rPr>
            <sz val="9"/>
            <color indexed="81"/>
            <rFont val="Tahoma"/>
            <family val="2"/>
            <charset val="204"/>
          </rPr>
          <t xml:space="preserve">
тепло</t>
        </r>
      </text>
    </comment>
    <comment ref="B5" authorId="1" shapeId="0">
      <text>
        <r>
          <rPr>
            <sz val="9"/>
            <color indexed="81"/>
            <rFont val="Tahoma"/>
            <family val="2"/>
            <charset val="204"/>
          </rPr>
          <t xml:space="preserve">
телефон, интернет</t>
        </r>
      </text>
    </comment>
    <comment ref="H5" authorId="1" shapeId="0">
      <text>
        <r>
          <rPr>
            <sz val="9"/>
            <color indexed="81"/>
            <rFont val="Tahoma"/>
            <family val="2"/>
            <charset val="204"/>
          </rPr>
          <t xml:space="preserve">
интернет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04"/>
          </rPr>
          <t xml:space="preserve">
жбо, тепло, свет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04"/>
          </rPr>
          <t xml:space="preserve">
тбо, наруж.освещ., пжрэт, дезинфекц., вентиляц., то лифта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04"/>
          </rPr>
          <t xml:space="preserve">
то видеонабл., то охр.сигнализ.</t>
        </r>
      </text>
    </comment>
    <comment ref="E9" authorId="1" shapeId="0">
      <text>
        <r>
          <rPr>
            <sz val="9"/>
            <color indexed="81"/>
            <rFont val="Tahoma"/>
            <family val="2"/>
            <charset val="204"/>
          </rPr>
          <t xml:space="preserve">
то пож.сигнализ.</t>
        </r>
      </text>
    </comment>
    <comment ref="H9" authorId="1" shapeId="0">
      <text>
        <r>
          <rPr>
            <sz val="9"/>
            <color indexed="81"/>
            <rFont val="Tahoma"/>
            <family val="2"/>
            <charset val="204"/>
          </rPr>
          <t xml:space="preserve">
поверка</t>
        </r>
      </text>
    </comment>
    <comment ref="D10" authorId="1" shapeId="0">
      <text>
        <r>
          <rPr>
            <sz val="9"/>
            <color indexed="81"/>
            <rFont val="Tahoma"/>
            <family val="2"/>
            <charset val="204"/>
          </rPr>
          <t xml:space="preserve">
лиц.охр., охрана</t>
        </r>
      </text>
    </comment>
    <comment ref="E10" authorId="1" shapeId="0">
      <text>
        <r>
          <rPr>
            <sz val="9"/>
            <color indexed="81"/>
            <rFont val="Tahoma"/>
            <family val="2"/>
            <charset val="204"/>
          </rPr>
          <t xml:space="preserve">
мониторинг апс</t>
        </r>
      </text>
    </comment>
    <comment ref="F10" authorId="1" shapeId="0">
      <text>
        <r>
          <rPr>
            <sz val="9"/>
            <color indexed="81"/>
            <rFont val="Tahoma"/>
            <family val="2"/>
            <charset val="204"/>
          </rPr>
          <t xml:space="preserve">
програм.обеспеч.</t>
        </r>
      </text>
    </comment>
    <comment ref="G10" authorId="1" shapeId="0">
      <text>
        <r>
          <rPr>
            <sz val="9"/>
            <color indexed="81"/>
            <rFont val="Tahoma"/>
            <family val="2"/>
            <charset val="204"/>
          </rPr>
          <t xml:space="preserve">
проектно-сметные работы 49595р поставить, когда появится план</t>
        </r>
      </text>
    </comment>
    <comment ref="H10" authorId="1" shapeId="0">
      <text>
        <r>
          <rPr>
            <sz val="9"/>
            <color indexed="81"/>
            <rFont val="Tahoma"/>
            <family val="2"/>
            <charset val="204"/>
          </rPr>
          <t xml:space="preserve">
орг-я пит.</t>
        </r>
      </text>
    </comment>
    <comment ref="H13" authorId="2" shapeId="0">
      <text>
        <r>
          <rPr>
            <b/>
            <sz val="9"/>
            <color indexed="81"/>
            <rFont val="Tahoma"/>
            <family val="2"/>
            <charset val="204"/>
          </rPr>
          <t>(род.пл.+обслуж-е+пит.сотр)
из таблицы от СН в р.2 стр.26200</t>
        </r>
      </text>
    </comment>
    <comment ref="H15" authorId="1" shapeId="0">
      <text>
        <r>
          <rPr>
            <sz val="9"/>
            <color indexed="81"/>
            <rFont val="Tahoma"/>
            <family val="2"/>
            <charset val="204"/>
          </rPr>
          <t xml:space="preserve">
из свода внебюджет</t>
        </r>
      </text>
    </comment>
    <comment ref="B21" authorId="3" shapeId="0">
      <text>
        <r>
          <rPr>
            <b/>
            <sz val="9"/>
            <color indexed="81"/>
            <rFont val="Tahoma"/>
            <charset val="1"/>
          </rPr>
          <t>Маргарита Юрьевна Арсиенко:</t>
        </r>
        <r>
          <rPr>
            <sz val="9"/>
            <color indexed="81"/>
            <rFont val="Tahoma"/>
            <charset val="1"/>
          </rPr>
          <t xml:space="preserve">
СКЭК заключен в 2023г. (вода на 1 квартал 2024) +ПЖРТ (на 6 мес)</t>
        </r>
      </text>
    </comment>
    <comment ref="E21" authorId="3" shapeId="0">
      <text>
        <r>
          <rPr>
            <b/>
            <sz val="9"/>
            <color indexed="81"/>
            <rFont val="Tahoma"/>
            <charset val="1"/>
          </rPr>
          <t>Маргарита Юрьевна Арсиенко:</t>
        </r>
        <r>
          <rPr>
            <sz val="9"/>
            <color indexed="81"/>
            <rFont val="Tahoma"/>
            <charset val="1"/>
          </rPr>
          <t xml:space="preserve">
на 4 месяца</t>
        </r>
      </text>
    </comment>
    <comment ref="B25" authorId="3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Маргарита Юрьевна 
</t>
        </r>
        <r>
          <rPr>
            <sz val="9"/>
            <color indexed="81"/>
            <rFont val="Tahoma"/>
            <family val="2"/>
            <charset val="204"/>
          </rPr>
          <t>вода</t>
        </r>
      </text>
    </comment>
    <comment ref="H25" authorId="3" shapeId="0">
      <text>
        <r>
          <rPr>
            <b/>
            <sz val="9"/>
            <color indexed="81"/>
            <rFont val="Tahoma"/>
            <family val="2"/>
            <charset val="204"/>
          </rPr>
          <t>Маргарита Юрьевна Арсиенко:</t>
        </r>
        <r>
          <rPr>
            <sz val="9"/>
            <color indexed="81"/>
            <rFont val="Tahoma"/>
            <family val="2"/>
            <charset val="204"/>
          </rPr>
          <t xml:space="preserve">
свет; тепло</t>
        </r>
      </text>
    </comment>
    <comment ref="B27" authorId="3" shapeId="0">
      <text>
        <r>
          <rPr>
            <b/>
            <sz val="9"/>
            <color indexed="81"/>
            <rFont val="Tahoma"/>
            <family val="2"/>
            <charset val="204"/>
          </rPr>
          <t>Маргарита Юрьевна Арсиенко:</t>
        </r>
        <r>
          <rPr>
            <sz val="9"/>
            <color indexed="81"/>
            <rFont val="Tahoma"/>
            <family val="2"/>
            <charset val="204"/>
          </rPr>
          <t xml:space="preserve">
дезинф-я</t>
        </r>
      </text>
    </comment>
    <comment ref="H31" authorId="2" shapeId="0">
      <text>
        <r>
          <rPr>
            <b/>
            <sz val="9"/>
            <color indexed="81"/>
            <rFont val="Tahoma"/>
            <family val="2"/>
            <charset val="204"/>
          </rPr>
          <t>(род.пл.+обслуж-е+пит.сотр)
из таблицы от СН в р.2 стр.26200</t>
        </r>
      </text>
    </comment>
    <comment ref="H48" authorId="2" shapeId="0">
      <text>
        <r>
          <rPr>
            <b/>
            <sz val="9"/>
            <color indexed="81"/>
            <rFont val="Tahoma"/>
            <family val="2"/>
            <charset val="204"/>
          </rPr>
          <t>(род.пл.+обслуж-е+пит.сотр)
из таблицы от СН в р.2 стр.26200</t>
        </r>
      </text>
    </comment>
  </commentList>
</comments>
</file>

<file path=xl/sharedStrings.xml><?xml version="1.0" encoding="utf-8"?>
<sst xmlns="http://schemas.openxmlformats.org/spreadsheetml/2006/main" count="4161" uniqueCount="752">
  <si>
    <t>СОГЛАСОВАНО:</t>
  </si>
  <si>
    <t>(Должность руководителя отраслевого подразделения администрации города (органа, осуществляющего функции и полномочия учредителя)</t>
  </si>
  <si>
    <t>(подпись) (расшифровка подписи)</t>
  </si>
  <si>
    <t>«__»____________ 20__ г.</t>
  </si>
  <si>
    <t>УТВЕРЖДАЮ:</t>
  </si>
  <si>
    <t>(Должность руководителя муниципального учреждения)</t>
  </si>
  <si>
    <t xml:space="preserve">План финансово-хозяйственной деятельности на 20__г. </t>
  </si>
  <si>
    <t>(на 20__г. и плановый период 20__ и 20__ годов)</t>
  </si>
  <si>
    <t>Коды</t>
  </si>
  <si>
    <t>от</t>
  </si>
  <si>
    <t>Дата</t>
  </si>
  <si>
    <t>по Сводному реестру</t>
  </si>
  <si>
    <t>Орган, осуществляющий</t>
  </si>
  <si>
    <t>функции и полномочия учредителя</t>
  </si>
  <si>
    <t>глава по БК</t>
  </si>
  <si>
    <t>ИНН</t>
  </si>
  <si>
    <t>КПП</t>
  </si>
  <si>
    <t>Учреждение (обособленное подразделение)</t>
  </si>
  <si>
    <t>по ОКЕИ</t>
  </si>
  <si>
    <t>Единица измерения: руб.</t>
  </si>
  <si>
    <t>Раздел 1. Поступления и выплаты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</si>
  <si>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</si>
  <si>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</si>
  <si>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</si>
  <si>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</si>
  <si>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</t>
  </si>
  <si>
    <t>на 20__ г. текущий финансовый год</t>
  </si>
  <si>
    <t>на 20__ г. первый год планового периода</t>
  </si>
  <si>
    <t>на 20__ г. второй год планового периода</t>
  </si>
  <si>
    <t>за пределами планового периода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</si>
  <si>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</si>
  <si>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</si>
  <si>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</si>
  <si>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</si>
  <si>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</si>
  <si>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</si>
  <si>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</si>
  <si>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 в том числе:
  доходы от собственности, всего</t>
  </si>
  <si>
    <t>1100</t>
  </si>
  <si>
    <t xml:space="preserve">  доходы от оказания услуг, работ, компенсации 
  затрат учреждений, всего</t>
  </si>
  <si>
    <t>1200</t>
  </si>
  <si>
    <t xml:space="preserve">   в том числе:
    субсидии на финансовое обеспечение 
    выполнения муниципального задания 
    за счет средств бюджета публично-правового 
    образования, создавшего учреждение</t>
  </si>
  <si>
    <t>1210</t>
  </si>
  <si>
    <t xml:space="preserve">  доходы от штрафов, пеней, иных сумм 
  принудительного изъятия, всего</t>
  </si>
  <si>
    <t>1300</t>
  </si>
  <si>
    <t xml:space="preserve">  безвозмездные денежные поступления, всего</t>
  </si>
  <si>
    <t>1400</t>
  </si>
  <si>
    <t xml:space="preserve">   в том числе:
    </t>
  </si>
  <si>
    <t xml:space="preserve">  прочие доходы, всего</t>
  </si>
  <si>
    <t>1500</t>
  </si>
  <si>
    <t xml:space="preserve">   в том числе: 
    целевые субсидии</t>
  </si>
  <si>
    <t>1510</t>
  </si>
  <si>
    <t xml:space="preserve">    субсидии на осуществление 
    капитальных вложений</t>
  </si>
  <si>
    <t>1520</t>
  </si>
  <si>
    <t xml:space="preserve">  доходы от операций с активами, всего</t>
  </si>
  <si>
    <t>1900</t>
  </si>
  <si>
    <t xml:space="preserve">  прочие поступления, всего</t>
  </si>
  <si>
    <t>1980</t>
  </si>
  <si>
    <t xml:space="preserve">   из них:
    увеличение остатков денежных 
    средств за счет возврата дебиторской 
    задолженности прошлых лет</t>
  </si>
  <si>
    <t>1981</t>
  </si>
  <si>
    <t>Расходы, всего</t>
  </si>
  <si>
    <t>2000</t>
  </si>
  <si>
    <t xml:space="preserve"> в том числе:
  на выплаты персоналу, всего</t>
  </si>
  <si>
    <t>2100</t>
  </si>
  <si>
    <t xml:space="preserve">   в том числе:
    оплата труда</t>
  </si>
  <si>
    <t>2110</t>
  </si>
  <si>
    <t xml:space="preserve">     из них по источнику финансового обеспечения:
      </t>
  </si>
  <si>
    <t xml:space="preserve">    прочие выплаты персоналу, в том числе 
    компенсационного характера</t>
  </si>
  <si>
    <t>2120</t>
  </si>
  <si>
    <t xml:space="preserve">    иные выплаты, за исключением фонда оплаты 
    труда учреждения, для выполнения отдельных 
    полномочий</t>
  </si>
  <si>
    <t>2130</t>
  </si>
  <si>
    <t xml:space="preserve">    взносы по обязательному социальному 
    страхованию на выплаты по оплате труда 
    работников и иные выплаты работникам 
    учреждений, всего</t>
  </si>
  <si>
    <t>2140</t>
  </si>
  <si>
    <t xml:space="preserve">     в том числе: 
      на выплаты по оплате труда</t>
  </si>
  <si>
    <t>2141</t>
  </si>
  <si>
    <t xml:space="preserve">       из них по источнику финансового 
       обеспечения:
        </t>
  </si>
  <si>
    <t xml:space="preserve">      на иные выплаты работникам</t>
  </si>
  <si>
    <t>2142</t>
  </si>
  <si>
    <t xml:space="preserve">  социальные и иные выплаты населению, всего</t>
  </si>
  <si>
    <t>2200</t>
  </si>
  <si>
    <t xml:space="preserve">   в том числе:
    социальные выплаты гражданам, кроме 
    публичных нормативных социальных выплат</t>
  </si>
  <si>
    <t>2210</t>
  </si>
  <si>
    <t xml:space="preserve">     из них: 
      пособия, компенсации и иные социальные 
      выплаты гражданам, кроме публичных 
      нормативных обязательств</t>
  </si>
  <si>
    <t>2211</t>
  </si>
  <si>
    <t xml:space="preserve">    выплата стипендий</t>
  </si>
  <si>
    <t>2220</t>
  </si>
  <si>
    <t xml:space="preserve">    на премирование физических лиц за 
    достижения в области культуры, искусства, 
    образования, науки и техники, а также на 
    предоставление грантов с целью поддержки 
    проектов в области науки, культуры и 
    искусства</t>
  </si>
  <si>
    <t>2230</t>
  </si>
  <si>
    <t xml:space="preserve">    социальное обеспечение детей-сирот и детей, 
    оставшихся без попечения родителей</t>
  </si>
  <si>
    <t>2240</t>
  </si>
  <si>
    <t xml:space="preserve">  уплата налогов, сборов и иных платежей, всего</t>
  </si>
  <si>
    <t>2300</t>
  </si>
  <si>
    <t xml:space="preserve">   из них:
    налог на имущество организаций и земельный 
    налог</t>
  </si>
  <si>
    <t>2310</t>
  </si>
  <si>
    <t xml:space="preserve">    иные налоги (включаемые в состав расходов) в 
    бюджеты бюджетной системы Российской 
    Федерации, а также государственная пошлина</t>
  </si>
  <si>
    <t>2320</t>
  </si>
  <si>
    <t xml:space="preserve">    уплата штрафов (в том числе 
    административных), пеней, иных платежей</t>
  </si>
  <si>
    <t>2330</t>
  </si>
  <si>
    <t xml:space="preserve">  безвозмездные перечисления организациям и 
  физическим лицам, всего</t>
  </si>
  <si>
    <t>2400</t>
  </si>
  <si>
    <t xml:space="preserve">   из них:
    гранты, предоставляемые другим организациям 
    и физическим лицам</t>
  </si>
  <si>
    <t>2410</t>
  </si>
  <si>
    <t xml:space="preserve">    взносы в международные организации</t>
  </si>
  <si>
    <t>2420</t>
  </si>
  <si>
    <t xml:space="preserve">    платежи в целях обеспечения реализации 
    соглашений с правительствами иностранных 
    государств и международными организациями</t>
  </si>
  <si>
    <t>2430</t>
  </si>
  <si>
    <t xml:space="preserve">  прочие выплаты (кроме выплат на закупку 
  товаров, работ, услуг)</t>
  </si>
  <si>
    <t>2500</t>
  </si>
  <si>
    <t xml:space="preserve">   исполнение судебных актов Российской 
   Федерации и мировых соглашений по 
   возмещению вреда, причиненного в результате 
   деятельности учреждения</t>
  </si>
  <si>
    <t>2520</t>
  </si>
  <si>
    <t xml:space="preserve">    из них по источнику финансового обеспечения:
     </t>
  </si>
  <si>
    <t xml:space="preserve">  расходы на закупку товаров, работ, услуг, всего</t>
  </si>
  <si>
    <t>2600</t>
  </si>
  <si>
    <t xml:space="preserve">   в том числе: 
    закупку научно-исследовательских и опытно-
    конструкторских работ</t>
  </si>
  <si>
    <t>2610</t>
  </si>
  <si>
    <t xml:space="preserve">    закупку товаров, работ, услуг в целях 
    капитального ремонта муниципального 
    имущества</t>
  </si>
  <si>
    <t>2630</t>
  </si>
  <si>
    <t xml:space="preserve">  прочую закупку товаров, работ и услуг, всего</t>
  </si>
  <si>
    <t>2640</t>
  </si>
  <si>
    <t xml:space="preserve">       из них:
</t>
  </si>
  <si>
    <t xml:space="preserve">  капитальные вложения в объекты 
  муниципальной собственности, всего</t>
  </si>
  <si>
    <t>2650</t>
  </si>
  <si>
    <t xml:space="preserve">   в том числе:
    приобретение объектов недвижимого 
    имущества муниципальными учреждениями</t>
  </si>
  <si>
    <t>2651</t>
  </si>
  <si>
    <t xml:space="preserve">    строительство (реконструкция) объектов 
    недвижимого имущества муниципальными 
    учреждениями</t>
  </si>
  <si>
    <t>2652</t>
  </si>
  <si>
    <t>Выплаты, уменьшающие доход, всего</t>
  </si>
  <si>
    <t>3000</t>
  </si>
  <si>
    <t xml:space="preserve"> в том числе:
  налог на прибыль</t>
  </si>
  <si>
    <t>3010</t>
  </si>
  <si>
    <t xml:space="preserve">  налог на добавленную стоимость</t>
  </si>
  <si>
    <t>3020</t>
  </si>
  <si>
    <t xml:space="preserve">  прочие налоги, уменьшающие доход</t>
  </si>
  <si>
    <t>3030</t>
  </si>
  <si>
    <t>Прочие выплаты, всего</t>
  </si>
  <si>
    <t>4000</t>
  </si>
  <si>
    <t xml:space="preserve"> из них: 
  возврат в бюджет средств субсидии</t>
  </si>
  <si>
    <t>4010</t>
  </si>
  <si>
    <t>Раздел 2. Сведения по выплатам на закупки товаров, работ, услуг</t>
  </si>
  <si>
    <t>N п/п</t>
  </si>
  <si>
    <t>Коды строк</t>
  </si>
  <si>
    <t>Год начала закупки</t>
  </si>
  <si>
    <t>на 20__ г. (текущий финансовый год)</t>
  </si>
  <si>
    <t>на 20__ г. (первый год планового периода)</t>
  </si>
  <si>
    <t>на 20__ г. (второй год планового периода)</t>
  </si>
  <si>
    <t>1.</t>
  </si>
  <si>
    <t>Выплаты на закупку товаров, работ, услуг, всего</t>
  </si>
  <si>
    <t>1.1.</t>
  </si>
  <si>
    <t xml:space="preserve"> в том числе: 
  по контрактам (договорам), заключенным до начала 
  текущего финансового года без применения норм 
  Федерального закона от 05.04.2013 № 44-ФЗ «О контрактной 
  системе в сфере закупок товаров, работ, услуг для 
  обеспечения государственных и муниципальных нужд» 
  (далее - Федеральный закон № 44-ФЗ) и Федерального 
  закона от 18.07.2011 № 223-ФЗ «О закупках товаров, работ, 
  услуг отдельными видами юридических лиц» (далее - 
  Федеральный закон № 223-ФЗ)</t>
  </si>
  <si>
    <t>1.2.</t>
  </si>
  <si>
    <t xml:space="preserve">  по контрактам (договорам), планируемым к заключению в 
  соответствующем финансовом году без применения норм 
  Федерального закона № 44-ФЗ и Федерального закона 
  № 223-ФЗ</t>
  </si>
  <si>
    <t>1.3.</t>
  </si>
  <si>
    <t xml:space="preserve">  по контрактам (договорам), заключенным до начала 
  текущего финансового года с учетом требований 
  Федерального закона № 44-ФЗ и Федерального закона 
  № 223-ФЗ</t>
  </si>
  <si>
    <t xml:space="preserve">     в том числе: 
      в соответствии с Федеральным законом № 44-ФЗ</t>
  </si>
  <si>
    <t xml:space="preserve">      в соответствии с Федеральным законом № 223-ФЗ</t>
  </si>
  <si>
    <t>1.4.</t>
  </si>
  <si>
    <t xml:space="preserve">  по контрактам (договорам), планируемым к заключению в 
  соответствующем финансовом году с учетом требований 
  Федерального закона № 44-ФЗ и Федерального закона 
  № 223-ФЗ</t>
  </si>
  <si>
    <t>1.4.1.</t>
  </si>
  <si>
    <t xml:space="preserve">   в том числе: 
    за счет субсидий, предоставляемых на финансовое 
    обеспечение выполнения муниципального задания</t>
  </si>
  <si>
    <t>1.4.1.1.</t>
  </si>
  <si>
    <t>1.4.1.2.</t>
  </si>
  <si>
    <t>1.4.2.</t>
  </si>
  <si>
    <t xml:space="preserve">    за счет субсидий, предоставляемых в соответствии с 
    абзацем вторым пункта 1 статьи 78.1 Бюджетного кодекса 
    Российской Федерации</t>
  </si>
  <si>
    <t>1.4.2.1.</t>
  </si>
  <si>
    <t>1.4.2.2.</t>
  </si>
  <si>
    <t>1.4.3.</t>
  </si>
  <si>
    <t xml:space="preserve">    за счет субсидий, предоставляемых на осуществление 
    капитальных вложений</t>
  </si>
  <si>
    <t>1.4.4.</t>
  </si>
  <si>
    <t xml:space="preserve">    за счет прочих источников финансового обеспечения</t>
  </si>
  <si>
    <t>1.4.4.1.</t>
  </si>
  <si>
    <t>1.4.4.2.</t>
  </si>
  <si>
    <t>2.</t>
  </si>
  <si>
    <t>Итого по контрактам, планируемым к заключению в 
соответствующем финансовом году в соответствии с 
Федеральным законом № 44-ФЗ, по соответствующему году 
закупки</t>
  </si>
  <si>
    <t xml:space="preserve"> в том числе по году начала закупки:
</t>
  </si>
  <si>
    <t>3.</t>
  </si>
  <si>
    <t>Итого по договорам, планируемым к заключению в 
соответствующем финансовом году в соответствии с 
Федеральным законом № 223-ФЗ, по соответствующему 
году закупки</t>
  </si>
  <si>
    <t>Руководитель финансово-экономической службы</t>
  </si>
  <si>
    <t>/</t>
  </si>
  <si>
    <t xml:space="preserve">(должность)  </t>
  </si>
  <si>
    <t xml:space="preserve"> (подпись)  </t>
  </si>
  <si>
    <t>(расшифровка подписи)</t>
  </si>
  <si>
    <t>Исполнитель</t>
  </si>
  <si>
    <t xml:space="preserve">(должность)   </t>
  </si>
  <si>
    <t xml:space="preserve">(фамилия, инициалы)   </t>
  </si>
  <si>
    <t xml:space="preserve"> (телефон)</t>
  </si>
  <si>
    <t xml:space="preserve">    «__» ________ 20__ г.</t>
  </si>
  <si>
    <t>КФО</t>
  </si>
  <si>
    <t>КОСГУ</t>
  </si>
  <si>
    <t>Примечание</t>
  </si>
  <si>
    <t>Заместитель начальника управления образования</t>
  </si>
  <si>
    <t xml:space="preserve">                 О.В. Гусева</t>
  </si>
  <si>
    <t>дата утверждения (согласования) может быть позже даты подписания, но в 1с план заносится той датой, которой</t>
  </si>
  <si>
    <t>утвержден (согласован)</t>
  </si>
  <si>
    <t>на 2020 г. и плановый период 2021 и 2022 годов</t>
  </si>
  <si>
    <t>дата подписания плана</t>
  </si>
  <si>
    <t>управление образования</t>
  </si>
  <si>
    <t>УО</t>
  </si>
  <si>
    <t>администрации города Кемерово</t>
  </si>
  <si>
    <t>Учреждение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</si>
  <si>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</si>
  <si>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</si>
  <si>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</si>
  <si>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2,4,5,6</t>
  </si>
  <si>
    <t>указываются планируемые суммы остатков средств на начало и на конец планируемого года (на этапе формирования проекта Плана), фактические остатки средств указываются при внесении изменений в утвержденный План после завершения отчетного финансового года</t>
  </si>
  <si>
    <t>Аренда</t>
  </si>
  <si>
    <t>Субсидия на финансовое обеспечение выполнения муниципального задания МЗ (131)</t>
  </si>
  <si>
    <t xml:space="preserve">    поступления от оказания услуг (выполнения 
    работ) на платной основе и от иной 
    приносящей доход деятельности</t>
  </si>
  <si>
    <t>1220</t>
  </si>
  <si>
    <t>131,134,135</t>
  </si>
  <si>
    <t>Род.плата, платные услуги (131), Питание сотрудников (134), Возмещение коммунальных услуг (135)</t>
  </si>
  <si>
    <t>141, 143</t>
  </si>
  <si>
    <t>Возмещение ущерба, пеня за нарушение условий контракта (141), пеня за несвоевр.оплату арендной платы (141), возм. комм.услуг (141), возмещение стоимости гос.пошлины (141), страховое возмещение по договору (143)</t>
  </si>
  <si>
    <t xml:space="preserve">   в том числе:
    поступления от оказания услуг (выполнения 
    работ) на платной основе и от иной 
    приносящей доход деятельности</t>
  </si>
  <si>
    <t>1410</t>
  </si>
  <si>
    <t>ДРП</t>
  </si>
  <si>
    <t>152, 162</t>
  </si>
  <si>
    <t>Интернет, кап.ремонт, муниципальная стипендия, акция1сентября, теневые навесы, ГПН, лагеря дневного пребывания</t>
  </si>
  <si>
    <t>1910</t>
  </si>
  <si>
    <t>Возмещение (кража)</t>
  </si>
  <si>
    <t>1920</t>
  </si>
  <si>
    <t>442, 446</t>
  </si>
  <si>
    <t>Недостача (продукты питания) (442), Сдача металлолома, макулатуры и пр (446)</t>
  </si>
  <si>
    <t>2,4,5</t>
  </si>
  <si>
    <t>Все прочие поступления, в т.ч. поступления в рамках внутренних расчетов (от головного учреждения, обособленного подразделения, филиала)</t>
  </si>
  <si>
    <t>Из строки 1980 выделяем возврат дебиторской задолженности прошлых лет</t>
  </si>
  <si>
    <t xml:space="preserve">     из них по источнику финансового обеспечения:
      субсидии на финансовое обеспечение 
      выполнения муниципального задания 
      за счет средств бюджета публично-правового 
      образования, создавшего учреждение</t>
  </si>
  <si>
    <t>2111</t>
  </si>
  <si>
    <t>211, 266</t>
  </si>
  <si>
    <t>Заработная плата (211), 3 дн. б/л (266)</t>
  </si>
  <si>
    <t xml:space="preserve">      поступления от оказания услуг (выполнения 
      работ) на платной основе и от иной 
      приносящей доход деятельности</t>
  </si>
  <si>
    <t>2112</t>
  </si>
  <si>
    <t xml:space="preserve">      целевые субсидии</t>
  </si>
  <si>
    <t>2113</t>
  </si>
  <si>
    <t>2121</t>
  </si>
  <si>
    <t>226, 266</t>
  </si>
  <si>
    <t>Командировочные расходы (проживание, проезд, суточные) (226), Выплата выход.пособия работникам учреждения при их увольнении не связанном с ликвидацией либо реорганизацией уч-я (266), Пособие до 3-х лет, Возмещение расходов на мед.осмотр при трудоустройстве</t>
  </si>
  <si>
    <t>2122</t>
  </si>
  <si>
    <t>2131</t>
  </si>
  <si>
    <t>Компенсация учащимся расходов на питание и проезд, при направлении их на соревнования, иные выпл.спортсм.привлекаем.для участия в спортив.мероприят, без заключ.с ними трудовых догов.или догов.ГПХ.</t>
  </si>
  <si>
    <t>2132</t>
  </si>
  <si>
    <t xml:space="preserve">       из них по источнику финансового 
       обеспечения:
        субсидии на финансовое обеспечение 
        выполнения муниципального задания 
        за счет средств бюджета публично-правового 
        образования, создавшего учреждение</t>
  </si>
  <si>
    <t>Начисления на выплаты по оплате труда (213)</t>
  </si>
  <si>
    <t xml:space="preserve">        поступления от оказания услуг (выполнения 
        работ) на платной основе и от иной 
        приносящей доход деятельности</t>
  </si>
  <si>
    <t xml:space="preserve">        целевые субсидии</t>
  </si>
  <si>
    <t>225,226,345, 346</t>
  </si>
  <si>
    <t>Обеспечение мер, направленных на сокращение производственного травматизма и профессиональных заболеваний работников (225,226), приобретение спецодежды (345,346)</t>
  </si>
  <si>
    <t>264,266, 296</t>
  </si>
  <si>
    <t>Расходы на выплату 3 дн. б/л уволенным работникам в течение 30 к.дн после расторжения трудового договора (264), Расходы на выплату пособия при сокращении (266), Расходы на выплату МП неработающим сотрудникам (296), Расходы на выплату МП членам семьи сотрудника (264)</t>
  </si>
  <si>
    <t xml:space="preserve">    приобретение товаров, работ, услуг в пользу 
    граждан в целях их социального обеспечения</t>
  </si>
  <si>
    <t>2212</t>
  </si>
  <si>
    <t xml:space="preserve">     из них по источнику финансового обеспечения:
      целевые субсидии</t>
  </si>
  <si>
    <t>345, 346</t>
  </si>
  <si>
    <t>Акция 1ое сентября</t>
  </si>
  <si>
    <t>2221</t>
  </si>
  <si>
    <t>Муниципальная стипендия</t>
  </si>
  <si>
    <t>нет</t>
  </si>
  <si>
    <t>2311</t>
  </si>
  <si>
    <t>Налог на имущество, Земельный налог</t>
  </si>
  <si>
    <t>2312</t>
  </si>
  <si>
    <t>2321</t>
  </si>
  <si>
    <t>Госуд.пошлина, Транспортный налог</t>
  </si>
  <si>
    <t>2322</t>
  </si>
  <si>
    <t>2331</t>
  </si>
  <si>
    <t>292, 293, 295</t>
  </si>
  <si>
    <t>Пени (НДФЛ, Страховые взносы, Налог на имущество, землю) (292), Пени (несвоевременная оплата услуг по договорам) (293), Административные штрафы (295)</t>
  </si>
  <si>
    <t>2332</t>
  </si>
  <si>
    <t xml:space="preserve">    из них по источнику финансового обеспечения:
     субсидии на финансовое обеспечение 
     выполнения муниципального задания 
     за счет средств бюджета публично-правового 
     образования, создавшего учреждение</t>
  </si>
  <si>
    <t>2521</t>
  </si>
  <si>
    <t>291, 296</t>
  </si>
  <si>
    <t>Возмещение судебных расходов (Госпошлины) (291), Административный штраф</t>
  </si>
  <si>
    <t xml:space="preserve">     поступления от оказания услуг (выполнения 
     работ) на платной основе и от иной 
     приносящей доход деятельности</t>
  </si>
  <si>
    <t>2522</t>
  </si>
  <si>
    <t>2611</t>
  </si>
  <si>
    <t>2612</t>
  </si>
  <si>
    <t>2613</t>
  </si>
  <si>
    <t>2631</t>
  </si>
  <si>
    <t>222, 224, 225, 226, 228, 310, 344, 346, 352, 353</t>
  </si>
  <si>
    <t xml:space="preserve">   из них по источнику финансового обеспечения:
    субсидии на финансовое обеспечение 
    выполнения муниципального задания 
    за счет средств бюджета публично-правового 
    образования, создавшего учреждение</t>
  </si>
  <si>
    <t>2641</t>
  </si>
  <si>
    <t xml:space="preserve">       из них:
        оплата работ, услуг</t>
  </si>
  <si>
    <t xml:space="preserve">        увеличение стоимости основных средств</t>
  </si>
  <si>
    <t xml:space="preserve">        увеличение стоимости материальных запасов</t>
  </si>
  <si>
    <t>2642</t>
  </si>
  <si>
    <t xml:space="preserve">    целевые субсидии</t>
  </si>
  <si>
    <t xml:space="preserve">     из них по источнику финансового обеспечения:
      субсидии на осуществление 
      капитальных вложений</t>
  </si>
  <si>
    <t>Указывается с минусом</t>
  </si>
  <si>
    <t>Все прочие выплаты, в т.ч. выбытия в рамках внутренних расчетов (головному учреждению, обособленному подразделению, филиалу)</t>
  </si>
  <si>
    <t>Из строки 4000 выделяем возврат в бюджет средств субсидии</t>
  </si>
  <si>
    <t>до начала текущего года</t>
  </si>
  <si>
    <t>в текущем году, первом, втором году планового периода, за пределами планового периода</t>
  </si>
  <si>
    <t>44-фз</t>
  </si>
  <si>
    <t>ПГ 
в текущем году, первом, втором году планового периода, за пределами планового периода</t>
  </si>
  <si>
    <t xml:space="preserve"> в том числе по году начала закупки:
  текущий финансовый год</t>
  </si>
  <si>
    <t xml:space="preserve">  первый год планового периода</t>
  </si>
  <si>
    <t xml:space="preserve">  второй год планового периода</t>
  </si>
  <si>
    <t>проверка</t>
  </si>
  <si>
    <t>Утверждено плановых назначений</t>
  </si>
  <si>
    <t>НЗ/ТР/ГПН</t>
  </si>
  <si>
    <t>ЭКР</t>
  </si>
  <si>
    <t>КВР</t>
  </si>
  <si>
    <t>Всего утверждено плановых назначений (Выбытия), руб.</t>
  </si>
  <si>
    <t>Утверждено (Поступления), руб.</t>
  </si>
  <si>
    <t>Остатки на ЛС, руб.</t>
  </si>
  <si>
    <t>ИТОГО МЗ</t>
  </si>
  <si>
    <t>МЗ</t>
  </si>
  <si>
    <t>Местный бюджет</t>
  </si>
  <si>
    <t xml:space="preserve"> - заработная плата</t>
  </si>
  <si>
    <t>011</t>
  </si>
  <si>
    <t>111</t>
  </si>
  <si>
    <t>211</t>
  </si>
  <si>
    <t xml:space="preserve"> - 3 дн б/л за счет работодателя</t>
  </si>
  <si>
    <t>266</t>
  </si>
  <si>
    <t xml:space="preserve"> - пособие по уходу за ребенком</t>
  </si>
  <si>
    <t>НЗ</t>
  </si>
  <si>
    <t>999</t>
  </si>
  <si>
    <t>112</t>
  </si>
  <si>
    <t xml:space="preserve"> - предварительный мед.осмотр (возм.расх.)</t>
  </si>
  <si>
    <t>226</t>
  </si>
  <si>
    <t xml:space="preserve"> - выходное пособие</t>
  </si>
  <si>
    <t xml:space="preserve"> - начисления на оплату труда</t>
  </si>
  <si>
    <t>013</t>
  </si>
  <si>
    <t>119</t>
  </si>
  <si>
    <t>213</t>
  </si>
  <si>
    <t xml:space="preserve"> - услуги связи, всего:</t>
  </si>
  <si>
    <t>244</t>
  </si>
  <si>
    <t>221</t>
  </si>
  <si>
    <t xml:space="preserve">   в том числе:
    - услуги связи (без интернета)</t>
  </si>
  <si>
    <t>021</t>
  </si>
  <si>
    <t xml:space="preserve">    - интернет </t>
  </si>
  <si>
    <t xml:space="preserve"> - транспортные расходы</t>
  </si>
  <si>
    <t>222</t>
  </si>
  <si>
    <t xml:space="preserve"> - коммунальные расходы (без ЖБО)</t>
  </si>
  <si>
    <t>023</t>
  </si>
  <si>
    <t>223</t>
  </si>
  <si>
    <t xml:space="preserve">    - ЖБО </t>
  </si>
  <si>
    <t>923</t>
  </si>
  <si>
    <t xml:space="preserve"> - арендная плата </t>
  </si>
  <si>
    <t>224</t>
  </si>
  <si>
    <t xml:space="preserve"> - услуги по содержанию имущества, всего:</t>
  </si>
  <si>
    <t>225</t>
  </si>
  <si>
    <t xml:space="preserve">   в том числе:
    - дезинфекция</t>
  </si>
  <si>
    <t>022</t>
  </si>
  <si>
    <t xml:space="preserve">    - замеры параметров электрических сетей</t>
  </si>
  <si>
    <t>ТР</t>
  </si>
  <si>
    <t xml:space="preserve">    - обслуживание тепловых завес, систем кондиционирования и вентиляции</t>
  </si>
  <si>
    <t>025</t>
  </si>
  <si>
    <t xml:space="preserve">    - аварийно-техническое обслуживание зданий</t>
  </si>
  <si>
    <t xml:space="preserve">    - содержание мест общего пользования (ПЖРЭТ)</t>
  </si>
  <si>
    <t xml:space="preserve">    - наружное освещение</t>
  </si>
  <si>
    <t xml:space="preserve">    - сервисное обслуживание пункта пог.регулир.</t>
  </si>
  <si>
    <t xml:space="preserve">    - взносы на кап.ремонт</t>
  </si>
  <si>
    <t xml:space="preserve">    - то пожарно-охранной сигнализации</t>
  </si>
  <si>
    <t xml:space="preserve">    - поверка электросчетчиков</t>
  </si>
  <si>
    <t xml:space="preserve">    - поверка манометров</t>
  </si>
  <si>
    <t xml:space="preserve">    - ремонт автомобилей</t>
  </si>
  <si>
    <t xml:space="preserve">    - тех.обслуживание автомобилей</t>
  </si>
  <si>
    <t xml:space="preserve">    - вывоз ТКО</t>
  </si>
  <si>
    <t xml:space="preserve">    - заправка картриджей</t>
  </si>
  <si>
    <t>015</t>
  </si>
  <si>
    <t xml:space="preserve"> - прочие работы, услуги, всего:</t>
  </si>
  <si>
    <t xml:space="preserve">    - медосмотр</t>
  </si>
  <si>
    <t>026</t>
  </si>
  <si>
    <t xml:space="preserve">    - демеркуризация</t>
  </si>
  <si>
    <t xml:space="preserve">    - специальная оценка условий труда</t>
  </si>
  <si>
    <t xml:space="preserve">    - предрейсовый мед.осмотр</t>
  </si>
  <si>
    <t xml:space="preserve">    - повышение проф.мастерства у водителей</t>
  </si>
  <si>
    <t xml:space="preserve">    - сопровождение кассира</t>
  </si>
  <si>
    <t xml:space="preserve">    - автострахование</t>
  </si>
  <si>
    <t xml:space="preserve">    - программное обеспечение и сопровождение</t>
  </si>
  <si>
    <t xml:space="preserve">    - консультант +</t>
  </si>
  <si>
    <t xml:space="preserve">    - курсы повышения квалификации</t>
  </si>
  <si>
    <t xml:space="preserve"> - 3 дн.б/л уволенным сотрудникам</t>
  </si>
  <si>
    <t>321</t>
  </si>
  <si>
    <t>264</t>
  </si>
  <si>
    <t xml:space="preserve"> - прочие налоги и сборы</t>
  </si>
  <si>
    <t>991</t>
  </si>
  <si>
    <t>852</t>
  </si>
  <si>
    <t>291</t>
  </si>
  <si>
    <t xml:space="preserve"> - пеня</t>
  </si>
  <si>
    <t>853</t>
  </si>
  <si>
    <t>293</t>
  </si>
  <si>
    <t xml:space="preserve"> - налог на имущество</t>
  </si>
  <si>
    <t>091</t>
  </si>
  <si>
    <t>851</t>
  </si>
  <si>
    <t xml:space="preserve"> - налог на землю</t>
  </si>
  <si>
    <t xml:space="preserve"> - увеличение стоимости основных средств</t>
  </si>
  <si>
    <t>310</t>
  </si>
  <si>
    <t xml:space="preserve"> - увеличение стоимости материальных запасов, всего:</t>
  </si>
  <si>
    <t>340</t>
  </si>
  <si>
    <t xml:space="preserve"> - ГСМ</t>
  </si>
  <si>
    <t>343</t>
  </si>
  <si>
    <t xml:space="preserve"> - бумага</t>
  </si>
  <si>
    <t>346</t>
  </si>
  <si>
    <t xml:space="preserve"> - расходные материалы к комп.технике</t>
  </si>
  <si>
    <t xml:space="preserve"> - запчасти для а/м</t>
  </si>
  <si>
    <t>Профилактика терроризма</t>
  </si>
  <si>
    <t xml:space="preserve"> - обслуживание кнопки тревожной сигнализации</t>
  </si>
  <si>
    <t xml:space="preserve"> - обслуживание системы охранного телевидения</t>
  </si>
  <si>
    <t xml:space="preserve"> - установка (востановление) внешнего ограждения</t>
  </si>
  <si>
    <t xml:space="preserve"> - вневедомственная охрана</t>
  </si>
  <si>
    <t xml:space="preserve"> - лицензированная охрана</t>
  </si>
  <si>
    <t xml:space="preserve"> - установка видеонаблюдения</t>
  </si>
  <si>
    <t>Энергосбережение</t>
  </si>
  <si>
    <t xml:space="preserve"> - то приборов коммерческого учета</t>
  </si>
  <si>
    <t>ИТОГО ИЦ</t>
  </si>
  <si>
    <t>ИЦ</t>
  </si>
  <si>
    <t>ИТОГО КАП</t>
  </si>
  <si>
    <t>КАП</t>
  </si>
  <si>
    <t>оплата работ, услуг</t>
  </si>
  <si>
    <t>Остаток средств на конец года, всего</t>
  </si>
  <si>
    <t>должно быть 0,00</t>
  </si>
  <si>
    <t>Приносящая доход деятельность</t>
  </si>
  <si>
    <t>Остаток средств на начало текущего финансового года, всего</t>
  </si>
  <si>
    <t xml:space="preserve"> в том числе:
  аутсорсинг</t>
  </si>
  <si>
    <t xml:space="preserve">  платные услуги</t>
  </si>
  <si>
    <t xml:space="preserve">  доходы от аренды</t>
  </si>
  <si>
    <t xml:space="preserve">  питание сотрудников</t>
  </si>
  <si>
    <t xml:space="preserve">  родительская плата на питание</t>
  </si>
  <si>
    <t xml:space="preserve">  возмещение коммунальных услуг</t>
  </si>
  <si>
    <t xml:space="preserve">  добровольные родительские пожертвования</t>
  </si>
  <si>
    <t xml:space="preserve">  от выбытий материальных запасов</t>
  </si>
  <si>
    <t xml:space="preserve">  доходы от штрафов, пеней, иных сумм принудительного изъятия</t>
  </si>
  <si>
    <t>Поступления, всего</t>
  </si>
  <si>
    <t>442 
446</t>
  </si>
  <si>
    <t>141 
143</t>
  </si>
  <si>
    <t>Налог на прибыль, всего</t>
  </si>
  <si>
    <t>НДС, всего</t>
  </si>
  <si>
    <t>911 0000 00000 00000 000 241</t>
  </si>
  <si>
    <t xml:space="preserve">  аутсорсинг</t>
  </si>
  <si>
    <t xml:space="preserve">  спонсорские средства</t>
  </si>
  <si>
    <t>ПДД</t>
  </si>
  <si>
    <r>
      <rPr>
        <b/>
        <sz val="11"/>
        <color rgb="FF0000CC"/>
        <rFont val="Times New Roman"/>
        <family val="1"/>
        <charset val="204"/>
      </rPr>
      <t>Реестр лимитов</t>
    </r>
    <r>
      <rPr>
        <sz val="11"/>
        <color theme="1"/>
        <rFont val="Times New Roman"/>
        <family val="1"/>
        <charset val="204"/>
      </rPr>
      <t xml:space="preserve"> (2600, 26000)</t>
    </r>
  </si>
  <si>
    <t>по контрактам (договорам), заключенным до начала года</t>
  </si>
  <si>
    <t>по контрактам (договорам), планируемым к заключению в соответствующем финансовом году</t>
  </si>
  <si>
    <t>без применения норм 44-фз, 223-фз (26100)</t>
  </si>
  <si>
    <t>с учетом требований 44-фз, 223-фз (26300)</t>
  </si>
  <si>
    <t>без применения норм 44-фз, 223-фз (26200)</t>
  </si>
  <si>
    <t>с учетом требований 44-фз, 223-фз (26400)</t>
  </si>
  <si>
    <t>223-фз</t>
  </si>
  <si>
    <r>
      <t xml:space="preserve">44-фз (26411,26421,26430,26451) </t>
    </r>
    <r>
      <rPr>
        <b/>
        <sz val="11"/>
        <color rgb="FF0000CC"/>
        <rFont val="Times New Roman"/>
        <family val="1"/>
        <charset val="204"/>
      </rPr>
      <t>ПГЗ</t>
    </r>
  </si>
  <si>
    <t>223-фз (26412,26422,26452)</t>
  </si>
  <si>
    <t>ПФХД</t>
  </si>
  <si>
    <t>Отклонение</t>
  </si>
  <si>
    <t xml:space="preserve"> Директор МАОУ "СОШ №85"</t>
  </si>
  <si>
    <t xml:space="preserve">                                                                                     М.О. Криворучко</t>
  </si>
  <si>
    <t>План финансово-хозяйственной деятельности на</t>
  </si>
  <si>
    <t>323Ш3124</t>
  </si>
  <si>
    <t>Муниципальное  автономное общеобразовательное</t>
  </si>
  <si>
    <t xml:space="preserve">                                                                                          учреждение "Средняя общеобразовательная школа № 85"</t>
  </si>
  <si>
    <t>зам. гл. бухгалтера</t>
  </si>
  <si>
    <t xml:space="preserve">        /      С.Н. Какошина</t>
  </si>
  <si>
    <t>КФО 2</t>
  </si>
  <si>
    <t>КФО 4</t>
  </si>
  <si>
    <t>КФО 5</t>
  </si>
  <si>
    <t xml:space="preserve">    - оплата услуг бухгалтерии</t>
  </si>
  <si>
    <t xml:space="preserve">    - услуги банка</t>
  </si>
  <si>
    <t xml:space="preserve">    - договора возмездного оказания услуг</t>
  </si>
  <si>
    <t xml:space="preserve"> - расходные материалы</t>
  </si>
  <si>
    <t xml:space="preserve"> - прочие материальные запасы</t>
  </si>
  <si>
    <t xml:space="preserve"> - продукты питания</t>
  </si>
  <si>
    <t xml:space="preserve">    - услуга по закупке и доставке продуктов (комбинат питания)</t>
  </si>
  <si>
    <t xml:space="preserve"> - медикаменты</t>
  </si>
  <si>
    <t xml:space="preserve"> - питание</t>
  </si>
  <si>
    <t>341</t>
  </si>
  <si>
    <t>342</t>
  </si>
  <si>
    <t>ИТОГО РАСХОДЫ</t>
  </si>
  <si>
    <t xml:space="preserve">    - поверка счетчиков  ГВС</t>
  </si>
  <si>
    <t xml:space="preserve">    - поверка теплосчетчиков</t>
  </si>
  <si>
    <t xml:space="preserve">    - поверка счетчиков  ХВС</t>
  </si>
  <si>
    <t xml:space="preserve">    - поверка весов</t>
  </si>
  <si>
    <t xml:space="preserve">   в том числе:
    - аутсорсинг</t>
  </si>
  <si>
    <t xml:space="preserve">   - накладные расходы</t>
  </si>
  <si>
    <t xml:space="preserve">    - ледовые поля (обслуживание)</t>
  </si>
  <si>
    <t xml:space="preserve">    - поверка (переосвидетельствование) лифта</t>
  </si>
  <si>
    <t xml:space="preserve">    - т/о лифта</t>
  </si>
  <si>
    <t xml:space="preserve">    - т/о пожарно-охранной сигнализации</t>
  </si>
  <si>
    <t xml:space="preserve">    - т/о бассейна</t>
  </si>
  <si>
    <t xml:space="preserve">    - т/о котельной</t>
  </si>
  <si>
    <t xml:space="preserve">    - анализ воды в бассейне</t>
  </si>
  <si>
    <t xml:space="preserve"> - услуги аутсорсинга, всего:</t>
  </si>
  <si>
    <t xml:space="preserve"> - строительные материалы</t>
  </si>
  <si>
    <t>345</t>
  </si>
  <si>
    <t xml:space="preserve"> - запчасти</t>
  </si>
  <si>
    <t xml:space="preserve">   в том числе:
    - Интернет</t>
  </si>
  <si>
    <t xml:space="preserve"> - текущий ремонт оборудования и техники</t>
  </si>
  <si>
    <t xml:space="preserve"> - обслуживание Доксель</t>
  </si>
  <si>
    <t xml:space="preserve"> - информационно-техн.сопровождение АИС</t>
  </si>
  <si>
    <t xml:space="preserve"> - обслуживание Электнонная школа 2.0</t>
  </si>
  <si>
    <t xml:space="preserve"> - услуги контент-фильтрация</t>
  </si>
  <si>
    <t xml:space="preserve"> - информационно-консультац. услуги АИС</t>
  </si>
  <si>
    <t xml:space="preserve"> - медали, аттестаты, грамоты</t>
  </si>
  <si>
    <t xml:space="preserve"> - лампы, светильники</t>
  </si>
  <si>
    <t xml:space="preserve"> - канцтовары</t>
  </si>
  <si>
    <t xml:space="preserve"> - библиотечный фонд</t>
  </si>
  <si>
    <t xml:space="preserve"> - наглядные пособия</t>
  </si>
  <si>
    <t xml:space="preserve"> - мебель</t>
  </si>
  <si>
    <t xml:space="preserve"> - курсы повышения квалификации</t>
  </si>
  <si>
    <t xml:space="preserve">    - дератизация открытых станций</t>
  </si>
  <si>
    <t xml:space="preserve">    - т/о прачечного оборудования</t>
  </si>
  <si>
    <t xml:space="preserve"> - пособия по социальной помощи населению </t>
  </si>
  <si>
    <t>262</t>
  </si>
  <si>
    <t xml:space="preserve"> - каникулярные расходы (гостевой режим)</t>
  </si>
  <si>
    <t>262, 264, 266</t>
  </si>
  <si>
    <t>Каникулярные расходы детей-сирот (262), Расходы на выплату 3 дн. б/л уволенным работникам в течение 30 к.дн после расторжения трудового договора (264), Расходы на выплату пособия при сокращении (266)</t>
  </si>
  <si>
    <t>Субвенция</t>
  </si>
  <si>
    <t xml:space="preserve"> - бутилированная вода</t>
  </si>
  <si>
    <t xml:space="preserve"> - хоз.расходы, моющие</t>
  </si>
  <si>
    <t xml:space="preserve"> - средства личной гигиены</t>
  </si>
  <si>
    <t xml:space="preserve"> - бумага, канц.товары</t>
  </si>
  <si>
    <t>344</t>
  </si>
  <si>
    <t xml:space="preserve"> - мягкий инвентарь</t>
  </si>
  <si>
    <t xml:space="preserve"> - прочие расходные материалы (посуда)</t>
  </si>
  <si>
    <t xml:space="preserve"> - доводчики на запасной выход (предписания)</t>
  </si>
  <si>
    <t xml:space="preserve"> - прочие налоги и сборы (транспортный налог)</t>
  </si>
  <si>
    <t xml:space="preserve">    - т/о КТС</t>
  </si>
  <si>
    <t xml:space="preserve">    - т/о видеонаблюдения</t>
  </si>
  <si>
    <t xml:space="preserve">    - зарядка огнетушителей</t>
  </si>
  <si>
    <t xml:space="preserve">    - т/о и проверка мед.техники и оборудования</t>
  </si>
  <si>
    <t xml:space="preserve">    - поверка диэлектрических средств защиты</t>
  </si>
  <si>
    <t xml:space="preserve">    - техосмотр</t>
  </si>
  <si>
    <t xml:space="preserve">    - мониторинг охранно-пожарной сигнализации</t>
  </si>
  <si>
    <t xml:space="preserve">    - санитарно-гигиеническое обучение</t>
  </si>
  <si>
    <t xml:space="preserve">    - организация питания</t>
  </si>
  <si>
    <t xml:space="preserve">    - вневедомственная охрана</t>
  </si>
  <si>
    <t xml:space="preserve">    - оплата услуг ЦБ</t>
  </si>
  <si>
    <t xml:space="preserve">    - программное обеспечение (СБИС)</t>
  </si>
  <si>
    <t>КП (пит), % банка, бух.обсл-е</t>
  </si>
  <si>
    <t>/   54-02-83</t>
  </si>
  <si>
    <t>26200, 26300, 26400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</si>
  <si>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</si>
  <si>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</si>
  <si>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</si>
  <si>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</si>
  <si>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 из бюджета города Кемерово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</si>
  <si>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</si>
  <si>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</si>
  <si>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</si>
  <si>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</si>
  <si>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</si>
  <si>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2020г.</t>
  </si>
  <si>
    <t>Поступления от доходов, всего:</t>
  </si>
  <si>
    <t>Из доходов убрать НДС и прибыль</t>
  </si>
  <si>
    <t xml:space="preserve"> в том числе:                                               </t>
  </si>
  <si>
    <t xml:space="preserve">  доходы от собственности</t>
  </si>
  <si>
    <t xml:space="preserve">  доходы от оказания услуг, работ</t>
  </si>
  <si>
    <t xml:space="preserve">  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</si>
  <si>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  иные субсидии, предоставленные из бюджета</t>
  </si>
  <si>
    <t xml:space="preserve">  прочие доходы</t>
  </si>
  <si>
    <t xml:space="preserve">  доходы от операций с активами</t>
  </si>
  <si>
    <t xml:space="preserve">   в том числе:                                                 </t>
  </si>
  <si>
    <t xml:space="preserve">    от выбытий основных средств</t>
  </si>
  <si>
    <t xml:space="preserve">    от выбытий материальных запасов</t>
  </si>
  <si>
    <t>Выплаты по расходам, всего:</t>
  </si>
  <si>
    <t xml:space="preserve"> в том числе на:                                        </t>
  </si>
  <si>
    <t xml:space="preserve">  выплаты персоналу, всего:</t>
  </si>
  <si>
    <t xml:space="preserve">   из них:                                                     </t>
  </si>
  <si>
    <t xml:space="preserve">    оплата труда и начисления на выплаты по оплате труда</t>
  </si>
  <si>
    <t xml:space="preserve">     в том числе:                                                                          </t>
  </si>
  <si>
    <t>211.1</t>
  </si>
  <si>
    <t xml:space="preserve">      фонд оплаты труда учреждений</t>
  </si>
  <si>
    <t xml:space="preserve">      иные выплаты персоналу учреждений, за исключением фонда оплаты труда</t>
  </si>
  <si>
    <t>211.2</t>
  </si>
  <si>
    <t xml:space="preserve">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</si>
  <si>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211.3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</si>
  <si>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</t>
  </si>
  <si>
    <t>211.4</t>
  </si>
  <si>
    <t xml:space="preserve">  социальные и иные выплаты населению, всего:</t>
  </si>
  <si>
    <t xml:space="preserve">   из них:                                                          </t>
  </si>
  <si>
    <t xml:space="preserve">    пособия, компенсации и иные социальные выплаты гражданам, кроме публичных нормативных обязательств</t>
  </si>
  <si>
    <t xml:space="preserve">    приобретение товаров, работ, услуг в пользу граждан в целях их социального обеспечения</t>
  </si>
  <si>
    <t xml:space="preserve">    стипендии </t>
  </si>
  <si>
    <t xml:space="preserve">    премии и гранты</t>
  </si>
  <si>
    <t xml:space="preserve">  уплату налогов, сборов и иных платежей, всего  </t>
  </si>
  <si>
    <t xml:space="preserve">   из них:                                                         </t>
  </si>
  <si>
    <t xml:space="preserve">    уплата налога на имущество организаций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</si>
  <si>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</si>
  <si>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</si>
  <si>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  прочие расходы (кроме расходов на закупку товаров, работ, услуг)</t>
  </si>
  <si>
    <t>Формулой только общая сумма, по источникам нужно разбить</t>
  </si>
  <si>
    <t xml:space="preserve">    научно-исследовательские и опытно-конструкторские работы</t>
  </si>
  <si>
    <t xml:space="preserve">    закупка товаров, работ, услуг в целях капитального ремонта государственного (муниципального) имущества</t>
  </si>
  <si>
    <t xml:space="preserve">    прочая закупка товаров, работ и услуг для обеспечения государственных (муниципальных) нужд</t>
  </si>
  <si>
    <t xml:space="preserve">  исполнение судебных актов, всего</t>
  </si>
  <si>
    <t xml:space="preserve">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</si>
  <si>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 в том числе</t>
  </si>
  <si>
    <t xml:space="preserve">    приобретение объектов недвижимого 
    имущества муниципальными учреждениями</t>
  </si>
  <si>
    <t>Поступление финансовых активов, всего:</t>
  </si>
  <si>
    <t xml:space="preserve"> из них:                                                          </t>
  </si>
  <si>
    <t xml:space="preserve">  увеличение остатков средств</t>
  </si>
  <si>
    <t xml:space="preserve">  прочие поступления </t>
  </si>
  <si>
    <t>Выбытие финансовых активов, всего:</t>
  </si>
  <si>
    <t xml:space="preserve">  уменьшение остатков средств</t>
  </si>
  <si>
    <t xml:space="preserve">  прочие выбытия </t>
  </si>
  <si>
    <t>Остаток средств на начало года</t>
  </si>
  <si>
    <t>Формулой только общий остаток, по источникам нужно разбить</t>
  </si>
  <si>
    <t>Остаток средств на конец года</t>
  </si>
  <si>
    <t xml:space="preserve">Показатели выплат по расходам </t>
  </si>
  <si>
    <t>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</si>
  <si>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</si>
  <si>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</si>
  <si>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</si>
  <si>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</si>
  <si>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2020 г. очередной финансовый год</t>
  </si>
  <si>
    <t>на 2021 г.             1-ый год планового периода</t>
  </si>
  <si>
    <t>на 2022 г.            2-ой год планового периода</t>
  </si>
  <si>
    <t>Выплаты по расходам на закупку товаров, работ, услуг, всего:</t>
  </si>
  <si>
    <t xml:space="preserve"> в том числе: </t>
  </si>
  <si>
    <t xml:space="preserve">  на оплату контрактов, заключенных до начала очередного финансового года:</t>
  </si>
  <si>
    <t xml:space="preserve">  на закупку товаров, работ, услуг по году начала закупки:</t>
  </si>
  <si>
    <t xml:space="preserve">   на закупку товаров, работ, услуг</t>
  </si>
  <si>
    <t xml:space="preserve">Брусова Ю.А. </t>
  </si>
  <si>
    <r>
      <rPr>
        <sz val="11"/>
        <color theme="1"/>
        <rFont val="Times New Roman"/>
        <family val="1"/>
        <charset val="204"/>
      </rPr>
      <t>глав. специалист ЭО</t>
    </r>
    <r>
      <rPr>
        <b/>
        <sz val="11"/>
        <color theme="1"/>
        <rFont val="Times New Roman"/>
        <family val="1"/>
        <charset val="204"/>
      </rPr>
      <t xml:space="preserve">    /</t>
    </r>
  </si>
  <si>
    <t>остатки</t>
  </si>
  <si>
    <t>« 07 »  февраля   2020 г.</t>
  </si>
  <si>
    <t>1420</t>
  </si>
  <si>
    <t xml:space="preserve">    - проведение лаб.исслед. на иерсиниоз овощехранилища</t>
  </si>
  <si>
    <t>323U5746</t>
  </si>
  <si>
    <t>Муниципальное автономное дошкольное образовательное</t>
  </si>
  <si>
    <t xml:space="preserve">                                                                                          учреждение № 10 "Детский сад комбинированного вида"</t>
  </si>
  <si>
    <t>1430</t>
  </si>
  <si>
    <t>4.1</t>
  </si>
  <si>
    <t>1.3.1</t>
  </si>
  <si>
    <t>26310.1</t>
  </si>
  <si>
    <t>1.3.2</t>
  </si>
  <si>
    <t>26421.1</t>
  </si>
  <si>
    <t>26430.1</t>
  </si>
  <si>
    <t>26451.1</t>
  </si>
  <si>
    <t xml:space="preserve">    - обработка от КОВИД</t>
  </si>
  <si>
    <t>292</t>
  </si>
  <si>
    <t xml:space="preserve">    - проект на эвакуцион.летсницу</t>
  </si>
  <si>
    <t xml:space="preserve"> - подписка (методлитература)</t>
  </si>
  <si>
    <t xml:space="preserve"> - спортивное оборудование</t>
  </si>
  <si>
    <t xml:space="preserve"> - игрушки</t>
  </si>
  <si>
    <t>ДРП + спонсорские</t>
  </si>
  <si>
    <t>МЗ местный</t>
  </si>
  <si>
    <t>счетчики тепла</t>
  </si>
  <si>
    <t xml:space="preserve">антитеррор </t>
  </si>
  <si>
    <t>ГО и ЧС</t>
  </si>
  <si>
    <t xml:space="preserve"> МЗ субвенция</t>
  </si>
  <si>
    <t>иные цели</t>
  </si>
  <si>
    <t>внебюджет</t>
  </si>
  <si>
    <t>ИТОГО</t>
  </si>
  <si>
    <t>(Генерация (АУ и БУ), ПЖРЭТ, вывоз мусора…………. (БУ)</t>
  </si>
  <si>
    <t>счет 302</t>
  </si>
  <si>
    <t>ст.221</t>
  </si>
  <si>
    <t>ст.222</t>
  </si>
  <si>
    <t>ст.223</t>
  </si>
  <si>
    <t>ст.224</t>
  </si>
  <si>
    <t>ст.225</t>
  </si>
  <si>
    <t>ст.226</t>
  </si>
  <si>
    <t>ИТОГО (стр.26300)</t>
  </si>
  <si>
    <t>стр.26200</t>
  </si>
  <si>
    <t>агентский договор с КП</t>
  </si>
  <si>
    <t>бух.обслуживание</t>
  </si>
  <si>
    <t>% банка</t>
  </si>
  <si>
    <t>инф-я от каб.107</t>
  </si>
  <si>
    <t xml:space="preserve"> = счет 302</t>
  </si>
  <si>
    <t>нет таких договоров</t>
  </si>
  <si>
    <t>2023г.</t>
  </si>
  <si>
    <t>Декабрь 2022г</t>
  </si>
  <si>
    <t xml:space="preserve">    закупку энергетических ресурсов</t>
  </si>
  <si>
    <t>2660</t>
  </si>
  <si>
    <t>СВЕТ, ТЕПЛО и ГАЗ (вода и ЖБО  остаются в КВР 244)</t>
  </si>
  <si>
    <t xml:space="preserve"> </t>
  </si>
  <si>
    <t>2661</t>
  </si>
  <si>
    <t>2662</t>
  </si>
  <si>
    <t>2663</t>
  </si>
  <si>
    <t>247</t>
  </si>
  <si>
    <t xml:space="preserve"> - ЖБО (кредиторка)</t>
  </si>
  <si>
    <t xml:space="preserve"> - ТО охранно-пож.сигнализации (кредиторка)</t>
  </si>
  <si>
    <t xml:space="preserve"> - проверка, перезарядка и приобретение огнетушителей</t>
  </si>
  <si>
    <t xml:space="preserve">  - медикаменты</t>
  </si>
  <si>
    <t xml:space="preserve">  - хоз. товары</t>
  </si>
  <si>
    <t>227</t>
  </si>
  <si>
    <t xml:space="preserve">  - канц. товары</t>
  </si>
  <si>
    <t xml:space="preserve">  - страхование</t>
  </si>
  <si>
    <t xml:space="preserve"> - питание в лагерях дневного прибывания</t>
  </si>
  <si>
    <t xml:space="preserve">  - поверка манометров</t>
  </si>
  <si>
    <r>
      <t xml:space="preserve">    - санитарно-гигиеническое обучение </t>
    </r>
    <r>
      <rPr>
        <b/>
        <sz val="11"/>
        <color rgb="FFFF0000"/>
        <rFont val="Times New Roman"/>
        <family val="1"/>
        <charset val="204"/>
      </rPr>
      <t>возвраты</t>
    </r>
  </si>
  <si>
    <t xml:space="preserve">    - иерсиниоз</t>
  </si>
  <si>
    <t>2024г.</t>
  </si>
  <si>
    <t>Декабрь 2023г</t>
  </si>
  <si>
    <t xml:space="preserve"> - мед.оборудование</t>
  </si>
  <si>
    <t xml:space="preserve"> - комп.техника</t>
  </si>
  <si>
    <r>
      <t xml:space="preserve"> - коммунальные расходы (</t>
    </r>
    <r>
      <rPr>
        <b/>
        <sz val="11"/>
        <color rgb="FF0000CC"/>
        <rFont val="Times New Roman"/>
        <family val="1"/>
        <charset val="204"/>
      </rPr>
      <t>электроэнергия, тепло, газ</t>
    </r>
    <r>
      <rPr>
        <b/>
        <sz val="11"/>
        <rFont val="Times New Roman"/>
        <family val="1"/>
        <charset val="204"/>
      </rPr>
      <t>)</t>
    </r>
  </si>
  <si>
    <r>
      <t xml:space="preserve"> - коммунальные расходы (</t>
    </r>
    <r>
      <rPr>
        <b/>
        <sz val="11"/>
        <color rgb="FF0000CC"/>
        <rFont val="Times New Roman"/>
        <family val="1"/>
        <charset val="204"/>
      </rPr>
      <t>водоснабжение, гор.вода</t>
    </r>
    <r>
      <rPr>
        <b/>
        <sz val="11"/>
        <rFont val="Times New Roman"/>
        <family val="1"/>
        <charset val="204"/>
      </rPr>
      <t>)</t>
    </r>
  </si>
  <si>
    <t xml:space="preserve">  - ремонт водонагревателя</t>
  </si>
  <si>
    <t>Заведующая МАДОУ № 10</t>
  </si>
  <si>
    <t>Л.С. Рябинкина</t>
  </si>
  <si>
    <t xml:space="preserve"> - разработка проектно-сметной документации эвак.(авар.)</t>
  </si>
  <si>
    <t xml:space="preserve"> - установка 2 люков, разработка проектно-смет.документац.</t>
  </si>
  <si>
    <t>Договора заключенные ранее 2023г.</t>
  </si>
  <si>
    <t>на 2023 г. и плановый период 2024 и 2025 годов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</si>
  <si>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</si>
  <si>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</si>
  <si>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</si>
  <si>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Договора заключенные ранее 2024г.</t>
  </si>
  <si>
    <t>2025г.</t>
  </si>
  <si>
    <t>Декабрь 2024г</t>
  </si>
  <si>
    <t>остатки 207 - 310 - 28389,11; 2071 - 310 - 3214,68</t>
  </si>
  <si>
    <t>остатки 201 - 3405 - 4597,22; 205 - 3405 - 1148,19; 215 - 342 - 602430,6; 215 - 3405 - 30750,05; 218 - 342 - 190,1</t>
  </si>
  <si>
    <t>КЦ 00500033 (0701 20300 29110 622)</t>
  </si>
  <si>
    <r>
      <t xml:space="preserve">  - разработка проектно-сметной документации эвак.(авар.) освещ. </t>
    </r>
    <r>
      <rPr>
        <b/>
        <sz val="11"/>
        <color rgb="FFFF0000"/>
        <rFont val="Times New Roman"/>
        <family val="1"/>
        <charset val="204"/>
      </rPr>
      <t>(кредиторка)</t>
    </r>
  </si>
  <si>
    <t>922</t>
  </si>
  <si>
    <t>020</t>
  </si>
  <si>
    <t>042</t>
  </si>
  <si>
    <t>122</t>
  </si>
  <si>
    <t xml:space="preserve"> - монтаж аварийного освещения</t>
  </si>
  <si>
    <t xml:space="preserve">0701 20300 S1480 622 999 </t>
  </si>
  <si>
    <t xml:space="preserve"> - монтаж ограждения на кровле</t>
  </si>
  <si>
    <t xml:space="preserve">0701 09300 71940 622 999 </t>
  </si>
  <si>
    <t xml:space="preserve">911 0701 23000 29110 621 241 </t>
  </si>
  <si>
    <t>МЗ ЦП 4023</t>
  </si>
  <si>
    <t>911 0701 21000 29110 621 241</t>
  </si>
  <si>
    <t>МЗ ЦП 4022</t>
  </si>
  <si>
    <t xml:space="preserve">910 0701 09100 71800 621 241 </t>
  </si>
  <si>
    <t>МЗ ЦП 401</t>
  </si>
  <si>
    <t xml:space="preserve">911 0701 09100 29110 621 241 </t>
  </si>
  <si>
    <t>МЗ ЦП 402</t>
  </si>
  <si>
    <t>911 0701 20300 29110 621 999</t>
  </si>
  <si>
    <t xml:space="preserve">ГО и ЧС </t>
  </si>
  <si>
    <t>МЗ ЦП 4024</t>
  </si>
  <si>
    <t xml:space="preserve"> лагерь дневного прибывания</t>
  </si>
  <si>
    <t>ИЦ ЦП 00500029</t>
  </si>
  <si>
    <t>ИЦ ЦП 390002288</t>
  </si>
  <si>
    <t>антитеррор</t>
  </si>
  <si>
    <t xml:space="preserve"> отстатки</t>
  </si>
  <si>
    <t>ИЦ ЦП 0500041</t>
  </si>
  <si>
    <t>ИЦ ЦП 0390002287</t>
  </si>
  <si>
    <t>ИЦ ЦП 0390002190</t>
  </si>
  <si>
    <t xml:space="preserve">   в том числе: </t>
  </si>
  <si>
    <t xml:space="preserve">       из них:</t>
  </si>
  <si>
    <t>О.В. Гусева</t>
  </si>
  <si>
    <t>0701 09100 29110 622 999 (КЦ 00500039)</t>
  </si>
  <si>
    <t>В.А. Шатилова</t>
  </si>
  <si>
    <t xml:space="preserve"> гл. бухгалтер</t>
  </si>
  <si>
    <r>
      <rPr>
        <sz val="11"/>
        <color theme="1"/>
        <rFont val="Times New Roman"/>
        <family val="1"/>
        <charset val="204"/>
      </rPr>
      <t>главный  специалист ЭО</t>
    </r>
    <r>
      <rPr>
        <b/>
        <sz val="11"/>
        <color theme="1"/>
        <rFont val="Times New Roman"/>
        <family val="1"/>
        <charset val="204"/>
      </rPr>
      <t xml:space="preserve">    /</t>
    </r>
  </si>
  <si>
    <t>Арсиенко М.Ю.</t>
  </si>
  <si>
    <t>М.Б. Гольдштейн</t>
  </si>
  <si>
    <t xml:space="preserve"> - распашные ворота с электроприводом</t>
  </si>
  <si>
    <t xml:space="preserve"> - установка автом.системы на распашные ворота</t>
  </si>
  <si>
    <t xml:space="preserve"> - коммунальные расходы (вода)</t>
  </si>
  <si>
    <t xml:space="preserve"> - коммунальные расходы (свет и тепло)</t>
  </si>
  <si>
    <t xml:space="preserve">    - оказание кансалтинговых услуг</t>
  </si>
  <si>
    <t>- строительные материалы</t>
  </si>
  <si>
    <t>Муниципальное автономное дошкольное образовательное  учреждение № 10 "Детский сад комбинированного вида"</t>
  </si>
  <si>
    <t>Генерация (тепло)  и ЭСКК (свет) в 2022</t>
  </si>
  <si>
    <t>противопожарные мероприятия</t>
  </si>
  <si>
    <t>«_____» ____________ 2023 г.</t>
  </si>
  <si>
    <t>911 0701 09100 29110 622 999</t>
  </si>
  <si>
    <t xml:space="preserve">991 0701 23000 S1390 622 999 </t>
  </si>
  <si>
    <r>
      <t>«</t>
    </r>
    <r>
      <rPr>
        <u/>
        <sz val="11"/>
        <color theme="1"/>
        <rFont val="Times New Roman"/>
        <family val="1"/>
        <charset val="204"/>
      </rPr>
      <t xml:space="preserve">  27  </t>
    </r>
    <r>
      <rPr>
        <sz val="11"/>
        <color theme="1"/>
        <rFont val="Times New Roman"/>
        <family val="2"/>
        <charset val="204"/>
      </rPr>
      <t xml:space="preserve">»  </t>
    </r>
    <r>
      <rPr>
        <u/>
        <sz val="11"/>
        <color theme="1"/>
        <rFont val="Times New Roman"/>
        <family val="1"/>
        <charset val="204"/>
      </rPr>
      <t xml:space="preserve">     ноября   </t>
    </r>
    <r>
      <rPr>
        <sz val="11"/>
        <color theme="1"/>
        <rFont val="Times New Roman"/>
        <family val="2"/>
        <charset val="204"/>
      </rPr>
      <t xml:space="preserve">  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</si>
</sst>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42" x14ac:knownFonts="1">
    <font>
      <sz val="11"/>
      <color theme="1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sz val="1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86002D"/>
      <name val="Times New Roman"/>
      <family val="1"/>
      <charset val="204"/>
    </font>
    <font>
      <sz val="11"/>
      <color rgb="FF8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color rgb="FFFFFFCC"/>
      <name val="Times New Roman"/>
      <family val="1"/>
      <charset val="204"/>
    </font>
    <font>
      <sz val="11"/>
      <color rgb="FF0000CC"/>
      <name val="Times New Roman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86002D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2"/>
      <charset val="204"/>
    </font>
    <font>
      <b/>
      <sz val="12"/>
      <name val="Times New Roman"/>
      <family val="2"/>
      <charset val="204"/>
    </font>
    <font>
      <b/>
      <sz val="11"/>
      <name val="Times New Roman"/>
      <family val="2"/>
      <charset val="204"/>
    </font>
    <font>
      <u/>
      <sz val="11"/>
      <color theme="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7030A0"/>
      <name val="Times New Roman"/>
      <family val="2"/>
      <charset val="204"/>
    </font>
    <font>
      <sz val="11"/>
      <color rgb="FF00B050"/>
      <name val="Times New Roman"/>
      <family val="2"/>
      <charset val="204"/>
    </font>
    <font>
      <b/>
      <sz val="11"/>
      <color rgb="FF7030A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8" fillId="0" borderId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54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Fill="1" applyBorder="1" applyAlignment="1"/>
    <xf numFmtId="0" fontId="4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4" fontId="0" fillId="0" borderId="3" xfId="0" applyNumberFormat="1" applyFill="1" applyBorder="1"/>
    <xf numFmtId="0" fontId="3" fillId="0" borderId="0" xfId="0" applyFont="1" applyFill="1"/>
    <xf numFmtId="0" fontId="3" fillId="0" borderId="3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3" fillId="0" borderId="0" xfId="0" applyFont="1"/>
    <xf numFmtId="0" fontId="3" fillId="0" borderId="3" xfId="0" applyFont="1" applyFill="1" applyBorder="1"/>
    <xf numFmtId="0" fontId="0" fillId="0" borderId="3" xfId="0" applyFill="1" applyBorder="1" applyAlignment="1">
      <alignment vertical="top" wrapText="1"/>
    </xf>
    <xf numFmtId="0" fontId="1" fillId="0" borderId="3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/>
    <xf numFmtId="4" fontId="0" fillId="0" borderId="3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left"/>
    </xf>
    <xf numFmtId="0" fontId="6" fillId="0" borderId="3" xfId="0" applyFont="1" applyFill="1" applyBorder="1" applyAlignment="1">
      <alignment wrapText="1"/>
    </xf>
    <xf numFmtId="4" fontId="3" fillId="0" borderId="3" xfId="0" applyNumberFormat="1" applyFont="1" applyFill="1" applyBorder="1" applyAlignment="1">
      <alignment horizontal="center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1" applyFont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7" fillId="0" borderId="0" xfId="1" applyFont="1" applyFill="1"/>
    <xf numFmtId="4" fontId="7" fillId="0" borderId="0" xfId="1" applyNumberFormat="1" applyFont="1" applyFill="1"/>
    <xf numFmtId="0" fontId="7" fillId="0" borderId="0" xfId="1" applyFont="1"/>
    <xf numFmtId="0" fontId="10" fillId="0" borderId="3" xfId="1" applyFont="1" applyFill="1" applyBorder="1"/>
    <xf numFmtId="0" fontId="9" fillId="0" borderId="0" xfId="1" applyFont="1"/>
    <xf numFmtId="4" fontId="9" fillId="0" borderId="3" xfId="1" applyNumberFormat="1" applyFont="1" applyFill="1" applyBorder="1" applyAlignment="1">
      <alignment horizontal="right"/>
    </xf>
    <xf numFmtId="1" fontId="9" fillId="0" borderId="6" xfId="1" applyNumberFormat="1" applyFont="1" applyBorder="1" applyAlignment="1">
      <alignment horizontal="center" wrapText="1"/>
    </xf>
    <xf numFmtId="1" fontId="9" fillId="0" borderId="6" xfId="1" applyNumberFormat="1" applyFont="1" applyFill="1" applyBorder="1" applyAlignment="1">
      <alignment horizontal="center" wrapText="1"/>
    </xf>
    <xf numFmtId="49" fontId="3" fillId="0" borderId="3" xfId="1" applyNumberFormat="1" applyFont="1" applyFill="1" applyBorder="1" applyAlignment="1">
      <alignment horizontal="center"/>
    </xf>
    <xf numFmtId="0" fontId="3" fillId="0" borderId="3" xfId="1" applyFont="1" applyBorder="1"/>
    <xf numFmtId="49" fontId="11" fillId="0" borderId="3" xfId="2" applyNumberFormat="1" applyFont="1" applyFill="1" applyBorder="1" applyAlignment="1">
      <alignment horizontal="left"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4" fontId="11" fillId="0" borderId="3" xfId="1" applyNumberFormat="1" applyFont="1" applyFill="1" applyBorder="1" applyAlignment="1">
      <alignment horizontal="right"/>
    </xf>
    <xf numFmtId="4" fontId="7" fillId="0" borderId="0" xfId="1" applyNumberFormat="1" applyFont="1"/>
    <xf numFmtId="4" fontId="13" fillId="0" borderId="0" xfId="1" applyNumberFormat="1" applyFont="1"/>
    <xf numFmtId="0" fontId="13" fillId="0" borderId="0" xfId="1" applyFont="1"/>
    <xf numFmtId="49" fontId="10" fillId="0" borderId="3" xfId="2" applyNumberFormat="1" applyFont="1" applyFill="1" applyBorder="1" applyAlignment="1">
      <alignment horizontal="left" vertical="center" wrapText="1"/>
    </xf>
    <xf numFmtId="49" fontId="10" fillId="0" borderId="3" xfId="2" applyNumberFormat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right"/>
    </xf>
    <xf numFmtId="4" fontId="10" fillId="0" borderId="5" xfId="3" applyNumberFormat="1" applyFont="1" applyFill="1" applyBorder="1" applyAlignment="1">
      <alignment horizontal="right" wrapText="1"/>
    </xf>
    <xf numFmtId="4" fontId="3" fillId="0" borderId="0" xfId="1" applyNumberFormat="1" applyFont="1"/>
    <xf numFmtId="49" fontId="11" fillId="0" borderId="8" xfId="2" applyNumberFormat="1" applyFont="1" applyFill="1" applyBorder="1" applyAlignment="1">
      <alignment horizontal="left" vertical="center" wrapText="1"/>
    </xf>
    <xf numFmtId="49" fontId="11" fillId="0" borderId="8" xfId="2" applyNumberFormat="1" applyFont="1" applyFill="1" applyBorder="1" applyAlignment="1">
      <alignment horizontal="center" vertical="center" wrapText="1"/>
    </xf>
    <xf numFmtId="0" fontId="14" fillId="0" borderId="0" xfId="1" applyFont="1"/>
    <xf numFmtId="4" fontId="14" fillId="0" borderId="0" xfId="1" applyNumberFormat="1" applyFont="1"/>
    <xf numFmtId="49" fontId="10" fillId="0" borderId="3" xfId="1" applyNumberFormat="1" applyFont="1" applyFill="1" applyBorder="1"/>
    <xf numFmtId="49" fontId="10" fillId="0" borderId="3" xfId="1" applyNumberFormat="1" applyFont="1" applyFill="1" applyBorder="1" applyAlignment="1">
      <alignment horizontal="center"/>
    </xf>
    <xf numFmtId="49" fontId="11" fillId="0" borderId="3" xfId="1" applyNumberFormat="1" applyFont="1" applyBorder="1" applyAlignment="1">
      <alignment wrapText="1"/>
    </xf>
    <xf numFmtId="49" fontId="11" fillId="0" borderId="3" xfId="1" applyNumberFormat="1" applyFont="1" applyFill="1" applyBorder="1" applyAlignment="1">
      <alignment wrapText="1"/>
    </xf>
    <xf numFmtId="49" fontId="11" fillId="0" borderId="3" xfId="1" applyNumberFormat="1" applyFont="1" applyFill="1" applyBorder="1" applyAlignment="1">
      <alignment horizontal="center"/>
    </xf>
    <xf numFmtId="49" fontId="11" fillId="0" borderId="3" xfId="1" applyNumberFormat="1" applyFont="1" applyBorder="1"/>
    <xf numFmtId="49" fontId="11" fillId="0" borderId="3" xfId="1" applyNumberFormat="1" applyFont="1" applyFill="1" applyBorder="1"/>
    <xf numFmtId="49" fontId="10" fillId="2" borderId="3" xfId="1" applyNumberFormat="1" applyFont="1" applyFill="1" applyBorder="1"/>
    <xf numFmtId="49" fontId="10" fillId="3" borderId="3" xfId="1" applyNumberFormat="1" applyFont="1" applyFill="1" applyBorder="1"/>
    <xf numFmtId="0" fontId="11" fillId="0" borderId="0" xfId="1" applyFont="1"/>
    <xf numFmtId="0" fontId="11" fillId="0" borderId="0" xfId="1" applyFont="1" applyFill="1"/>
    <xf numFmtId="0" fontId="11" fillId="0" borderId="0" xfId="1" applyFont="1" applyFill="1" applyAlignment="1">
      <alignment horizontal="center"/>
    </xf>
    <xf numFmtId="4" fontId="11" fillId="0" borderId="0" xfId="1" applyNumberFormat="1" applyFont="1" applyFill="1"/>
    <xf numFmtId="0" fontId="7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7" fillId="0" borderId="0" xfId="1" applyFont="1" applyFill="1" applyAlignment="1">
      <alignment horizontal="center"/>
    </xf>
    <xf numFmtId="0" fontId="16" fillId="0" borderId="0" xfId="1" applyFont="1"/>
    <xf numFmtId="0" fontId="16" fillId="0" borderId="0" xfId="1" applyFont="1" applyFill="1" applyAlignment="1">
      <alignment horizontal="center"/>
    </xf>
    <xf numFmtId="4" fontId="16" fillId="0" borderId="0" xfId="1" applyNumberFormat="1" applyFont="1" applyFill="1"/>
    <xf numFmtId="0" fontId="16" fillId="0" borderId="12" xfId="1" applyFont="1" applyBorder="1"/>
    <xf numFmtId="0" fontId="16" fillId="0" borderId="13" xfId="1" applyFont="1" applyBorder="1"/>
    <xf numFmtId="1" fontId="11" fillId="0" borderId="3" xfId="1" applyNumberFormat="1" applyFont="1" applyBorder="1" applyAlignment="1">
      <alignment horizontal="center" wrapText="1"/>
    </xf>
    <xf numFmtId="1" fontId="11" fillId="0" borderId="3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1" fontId="9" fillId="0" borderId="6" xfId="1" applyNumberFormat="1" applyFont="1" applyBorder="1" applyAlignment="1">
      <alignment horizontal="left" wrapText="1"/>
    </xf>
    <xf numFmtId="4" fontId="9" fillId="0" borderId="6" xfId="1" applyNumberFormat="1" applyFont="1" applyFill="1" applyBorder="1" applyAlignment="1">
      <alignment horizontal="right"/>
    </xf>
    <xf numFmtId="1" fontId="11" fillId="0" borderId="6" xfId="1" applyNumberFormat="1" applyFont="1" applyBorder="1" applyAlignment="1">
      <alignment horizontal="left" wrapText="1"/>
    </xf>
    <xf numFmtId="1" fontId="11" fillId="0" borderId="6" xfId="1" applyNumberFormat="1" applyFont="1" applyFill="1" applyBorder="1" applyAlignment="1">
      <alignment horizontal="center" vertical="center"/>
    </xf>
    <xf numFmtId="1" fontId="11" fillId="0" borderId="6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Border="1"/>
    <xf numFmtId="2" fontId="10" fillId="2" borderId="3" xfId="1" applyNumberFormat="1" applyFont="1" applyFill="1" applyBorder="1"/>
    <xf numFmtId="0" fontId="11" fillId="4" borderId="11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17" xfId="0" applyFont="1" applyFill="1" applyBorder="1" applyAlignment="1">
      <alignment wrapText="1"/>
    </xf>
    <xf numFmtId="0" fontId="11" fillId="4" borderId="9" xfId="0" applyFont="1" applyFill="1" applyBorder="1" applyAlignment="1">
      <alignment wrapText="1"/>
    </xf>
    <xf numFmtId="0" fontId="11" fillId="4" borderId="8" xfId="0" applyFont="1" applyFill="1" applyBorder="1" applyAlignment="1">
      <alignment wrapText="1"/>
    </xf>
    <xf numFmtId="4" fontId="11" fillId="4" borderId="11" xfId="0" applyNumberFormat="1" applyFont="1" applyFill="1" applyBorder="1"/>
    <xf numFmtId="4" fontId="11" fillId="4" borderId="3" xfId="0" applyNumberFormat="1" applyFont="1" applyFill="1" applyBorder="1"/>
    <xf numFmtId="4" fontId="11" fillId="4" borderId="17" xfId="0" applyNumberFormat="1" applyFont="1" applyFill="1" applyBorder="1"/>
    <xf numFmtId="4" fontId="11" fillId="4" borderId="9" xfId="0" applyNumberFormat="1" applyFont="1" applyFill="1" applyBorder="1"/>
    <xf numFmtId="4" fontId="11" fillId="4" borderId="8" xfId="0" applyNumberFormat="1" applyFont="1" applyFill="1" applyBorder="1"/>
    <xf numFmtId="49" fontId="0" fillId="0" borderId="8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7" xfId="0" applyNumberFormat="1" applyBorder="1"/>
    <xf numFmtId="4" fontId="0" fillId="0" borderId="9" xfId="0" applyNumberFormat="1" applyBorder="1"/>
    <xf numFmtId="4" fontId="0" fillId="0" borderId="8" xfId="0" applyNumberFormat="1" applyBorder="1"/>
    <xf numFmtId="0" fontId="0" fillId="0" borderId="11" xfId="0" applyBorder="1"/>
    <xf numFmtId="0" fontId="0" fillId="0" borderId="3" xfId="0" applyBorder="1"/>
    <xf numFmtId="0" fontId="0" fillId="0" borderId="17" xfId="0" applyBorder="1"/>
    <xf numFmtId="0" fontId="0" fillId="0" borderId="9" xfId="0" applyBorder="1"/>
    <xf numFmtId="0" fontId="0" fillId="0" borderId="8" xfId="0" applyBorder="1"/>
    <xf numFmtId="1" fontId="0" fillId="0" borderId="8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0" xfId="0" applyFont="1"/>
    <xf numFmtId="4" fontId="17" fillId="0" borderId="0" xfId="0" applyNumberFormat="1" applyFont="1"/>
    <xf numFmtId="4" fontId="0" fillId="0" borderId="0" xfId="0" applyNumberFormat="1"/>
    <xf numFmtId="0" fontId="6" fillId="0" borderId="1" xfId="0" applyFont="1" applyFill="1" applyBorder="1"/>
    <xf numFmtId="0" fontId="6" fillId="0" borderId="1" xfId="0" applyFont="1" applyFill="1" applyBorder="1" applyAlignment="1"/>
    <xf numFmtId="4" fontId="22" fillId="0" borderId="0" xfId="1" applyNumberFormat="1" applyFont="1"/>
    <xf numFmtId="4" fontId="11" fillId="0" borderId="0" xfId="1" applyNumberFormat="1" applyFont="1"/>
    <xf numFmtId="0" fontId="23" fillId="0" borderId="0" xfId="1" applyFont="1"/>
    <xf numFmtId="49" fontId="10" fillId="0" borderId="8" xfId="2" applyNumberFormat="1" applyFont="1" applyFill="1" applyBorder="1" applyAlignment="1">
      <alignment horizontal="left" vertical="center" wrapText="1"/>
    </xf>
    <xf numFmtId="49" fontId="10" fillId="0" borderId="8" xfId="2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Alignment="1">
      <alignment wrapText="1"/>
    </xf>
    <xf numFmtId="4" fontId="17" fillId="0" borderId="0" xfId="0" applyNumberFormat="1" applyFont="1" applyFill="1"/>
    <xf numFmtId="0" fontId="17" fillId="0" borderId="0" xfId="0" applyFont="1" applyAlignment="1">
      <alignment horizontal="right"/>
    </xf>
    <xf numFmtId="0" fontId="17" fillId="0" borderId="0" xfId="0" applyFont="1" applyAlignment="1">
      <alignment wrapText="1"/>
    </xf>
    <xf numFmtId="49" fontId="10" fillId="5" borderId="3" xfId="1" applyNumberFormat="1" applyFont="1" applyFill="1" applyBorder="1"/>
    <xf numFmtId="4" fontId="24" fillId="0" borderId="0" xfId="1" applyNumberFormat="1" applyFont="1"/>
    <xf numFmtId="0" fontId="24" fillId="0" borderId="0" xfId="1" applyFont="1"/>
    <xf numFmtId="4" fontId="0" fillId="6" borderId="3" xfId="0" applyNumberFormat="1" applyFill="1" applyBorder="1"/>
    <xf numFmtId="4" fontId="0" fillId="7" borderId="3" xfId="0" applyNumberForma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Fill="1"/>
    <xf numFmtId="4" fontId="9" fillId="0" borderId="0" xfId="0" applyNumberFormat="1" applyFont="1" applyFill="1"/>
    <xf numFmtId="4" fontId="0" fillId="0" borderId="24" xfId="0" applyNumberFormat="1" applyBorder="1"/>
    <xf numFmtId="0" fontId="9" fillId="0" borderId="0" xfId="0" applyFont="1"/>
    <xf numFmtId="0" fontId="1" fillId="0" borderId="0" xfId="0" applyFont="1"/>
    <xf numFmtId="0" fontId="25" fillId="0" borderId="0" xfId="6" applyFont="1" applyFill="1" applyBorder="1"/>
    <xf numFmtId="0" fontId="7" fillId="9" borderId="1" xfId="0" applyFont="1" applyFill="1" applyBorder="1" applyAlignment="1">
      <alignment horizontal="left"/>
    </xf>
    <xf numFmtId="4" fontId="0" fillId="9" borderId="3" xfId="0" applyNumberFormat="1" applyFill="1" applyBorder="1"/>
    <xf numFmtId="4" fontId="6" fillId="7" borderId="3" xfId="0" applyNumberFormat="1" applyFont="1" applyFill="1" applyBorder="1"/>
    <xf numFmtId="4" fontId="3" fillId="0" borderId="0" xfId="0" applyNumberFormat="1" applyFont="1"/>
    <xf numFmtId="4" fontId="1" fillId="8" borderId="3" xfId="0" applyNumberFormat="1" applyFont="1" applyFill="1" applyBorder="1"/>
    <xf numFmtId="0" fontId="0" fillId="7" borderId="0" xfId="0" applyFill="1"/>
    <xf numFmtId="0" fontId="0" fillId="7" borderId="3" xfId="0" applyFill="1" applyBorder="1" applyAlignment="1">
      <alignment wrapText="1"/>
    </xf>
    <xf numFmtId="49" fontId="0" fillId="7" borderId="3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3" fontId="0" fillId="7" borderId="0" xfId="0" applyNumberForma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" fontId="1" fillId="0" borderId="3" xfId="0" applyNumberFormat="1" applyFont="1" applyFill="1" applyBorder="1"/>
    <xf numFmtId="4" fontId="6" fillId="6" borderId="3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26" fillId="0" borderId="0" xfId="6" applyFont="1" applyFill="1" applyBorder="1" applyAlignment="1">
      <alignment horizontal="center"/>
    </xf>
    <xf numFmtId="4" fontId="11" fillId="9" borderId="5" xfId="3" applyNumberFormat="1" applyFont="1" applyFill="1" applyBorder="1" applyAlignment="1">
      <alignment horizontal="right" wrapText="1"/>
    </xf>
    <xf numFmtId="4" fontId="10" fillId="9" borderId="5" xfId="3" applyNumberFormat="1" applyFont="1" applyFill="1" applyBorder="1" applyAlignment="1">
      <alignment horizontal="right" wrapText="1"/>
    </xf>
    <xf numFmtId="4" fontId="10" fillId="9" borderId="3" xfId="1" applyNumberFormat="1" applyFont="1" applyFill="1" applyBorder="1" applyAlignment="1">
      <alignment horizontal="right"/>
    </xf>
    <xf numFmtId="4" fontId="11" fillId="9" borderId="3" xfId="1" applyNumberFormat="1" applyFont="1" applyFill="1" applyBorder="1" applyAlignment="1">
      <alignment horizontal="right"/>
    </xf>
    <xf numFmtId="4" fontId="9" fillId="9" borderId="3" xfId="1" applyNumberFormat="1" applyFont="1" applyFill="1" applyBorder="1" applyAlignment="1">
      <alignment horizontal="right"/>
    </xf>
    <xf numFmtId="49" fontId="11" fillId="9" borderId="3" xfId="2" applyNumberFormat="1" applyFont="1" applyFill="1" applyBorder="1" applyAlignment="1">
      <alignment horizontal="left" vertical="center" wrapText="1"/>
    </xf>
    <xf numFmtId="49" fontId="11" fillId="9" borderId="3" xfId="2" applyNumberFormat="1" applyFont="1" applyFill="1" applyBorder="1" applyAlignment="1">
      <alignment horizontal="center" vertical="center" wrapText="1"/>
    </xf>
    <xf numFmtId="49" fontId="11" fillId="9" borderId="8" xfId="2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/>
    <xf numFmtId="49" fontId="11" fillId="9" borderId="3" xfId="1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wrapText="1"/>
    </xf>
    <xf numFmtId="49" fontId="3" fillId="5" borderId="3" xfId="1" applyNumberFormat="1" applyFont="1" applyFill="1" applyBorder="1"/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9" fillId="10" borderId="3" xfId="0" applyFont="1" applyFill="1" applyBorder="1" applyAlignment="1">
      <alignment wrapText="1"/>
    </xf>
    <xf numFmtId="4" fontId="3" fillId="10" borderId="3" xfId="0" applyNumberFormat="1" applyFont="1" applyFill="1" applyBorder="1"/>
    <xf numFmtId="4" fontId="3" fillId="10" borderId="3" xfId="0" applyNumberFormat="1" applyFont="1" applyFill="1" applyBorder="1" applyAlignment="1">
      <alignment vertical="center"/>
    </xf>
    <xf numFmtId="0" fontId="2" fillId="7" borderId="0" xfId="0" applyFont="1" applyFill="1"/>
    <xf numFmtId="0" fontId="3" fillId="11" borderId="3" xfId="0" applyFont="1" applyFill="1" applyBorder="1"/>
    <xf numFmtId="4" fontId="3" fillId="11" borderId="3" xfId="0" applyNumberFormat="1" applyFont="1" applyFill="1" applyBorder="1"/>
    <xf numFmtId="4" fontId="3" fillId="4" borderId="3" xfId="0" applyNumberFormat="1" applyFont="1" applyFill="1" applyBorder="1"/>
    <xf numFmtId="0" fontId="3" fillId="12" borderId="3" xfId="0" applyFont="1" applyFill="1" applyBorder="1"/>
    <xf numFmtId="4" fontId="3" fillId="12" borderId="3" xfId="0" applyNumberFormat="1" applyFont="1" applyFill="1" applyBorder="1"/>
    <xf numFmtId="0" fontId="30" fillId="0" borderId="3" xfId="0" applyFont="1" applyFill="1" applyBorder="1" applyAlignment="1">
      <alignment wrapText="1"/>
    </xf>
    <xf numFmtId="0" fontId="30" fillId="0" borderId="3" xfId="0" applyFont="1" applyFill="1" applyBorder="1"/>
    <xf numFmtId="0" fontId="3" fillId="0" borderId="7" xfId="0" applyFont="1" applyFill="1" applyBorder="1"/>
    <xf numFmtId="4" fontId="3" fillId="0" borderId="0" xfId="0" applyNumberFormat="1" applyFont="1" applyBorder="1"/>
    <xf numFmtId="0" fontId="0" fillId="10" borderId="0" xfId="0" applyFill="1" applyBorder="1" applyAlignment="1">
      <alignment horizontal="center"/>
    </xf>
    <xf numFmtId="4" fontId="3" fillId="1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/>
    <xf numFmtId="0" fontId="0" fillId="0" borderId="0" xfId="0" applyFill="1" applyAlignment="1">
      <alignment horizontal="right"/>
    </xf>
    <xf numFmtId="0" fontId="3" fillId="0" borderId="0" xfId="0" applyFont="1" applyFill="1" applyAlignment="1"/>
    <xf numFmtId="0" fontId="0" fillId="0" borderId="0" xfId="0" applyFill="1" applyAlignment="1">
      <alignment vertical="center"/>
    </xf>
    <xf numFmtId="0" fontId="5" fillId="0" borderId="0" xfId="0" applyFont="1" applyFill="1"/>
    <xf numFmtId="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164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>
      <alignment horizontal="left"/>
    </xf>
    <xf numFmtId="0" fontId="0" fillId="0" borderId="3" xfId="0" applyNumberForma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0" fillId="9" borderId="3" xfId="0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4" fontId="6" fillId="9" borderId="3" xfId="0" applyNumberFormat="1" applyFont="1" applyFill="1" applyBorder="1"/>
    <xf numFmtId="4" fontId="30" fillId="9" borderId="3" xfId="0" applyNumberFormat="1" applyFont="1" applyFill="1" applyBorder="1"/>
    <xf numFmtId="49" fontId="10" fillId="9" borderId="3" xfId="2" applyNumberFormat="1" applyFont="1" applyFill="1" applyBorder="1" applyAlignment="1">
      <alignment horizontal="left" vertical="center" wrapText="1"/>
    </xf>
    <xf numFmtId="49" fontId="10" fillId="5" borderId="3" xfId="3" applyNumberFormat="1" applyFont="1" applyFill="1" applyBorder="1" applyAlignment="1">
      <alignment horizontal="left" wrapText="1"/>
    </xf>
    <xf numFmtId="49" fontId="10" fillId="5" borderId="11" xfId="2" applyNumberFormat="1" applyFont="1" applyFill="1" applyBorder="1" applyAlignment="1">
      <alignment horizontal="left" vertical="center"/>
    </xf>
    <xf numFmtId="49" fontId="10" fillId="9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/>
    </xf>
    <xf numFmtId="0" fontId="6" fillId="0" borderId="0" xfId="0" applyFont="1" applyFill="1" applyAlignment="1"/>
    <xf numFmtId="0" fontId="33" fillId="0" borderId="0" xfId="0" applyFont="1" applyFill="1" applyAlignment="1">
      <alignment wrapText="1"/>
    </xf>
    <xf numFmtId="0" fontId="6" fillId="0" borderId="0" xfId="0" applyFont="1" applyFill="1" applyBorder="1"/>
    <xf numFmtId="0" fontId="6" fillId="0" borderId="10" xfId="0" applyFont="1" applyFill="1" applyBorder="1"/>
    <xf numFmtId="0" fontId="6" fillId="0" borderId="0" xfId="0" applyFont="1" applyFill="1" applyBorder="1" applyAlignment="1">
      <alignment horizontal="right" vertical="center"/>
    </xf>
    <xf numFmtId="4" fontId="6" fillId="0" borderId="1" xfId="0" applyNumberFormat="1" applyFont="1" applyFill="1" applyBorder="1"/>
    <xf numFmtId="0" fontId="6" fillId="0" borderId="3" xfId="0" applyFont="1" applyFill="1" applyBorder="1" applyAlignment="1">
      <alignment horizontal="center" wrapText="1"/>
    </xf>
    <xf numFmtId="4" fontId="34" fillId="9" borderId="3" xfId="0" applyNumberFormat="1" applyFont="1" applyFill="1" applyBorder="1"/>
    <xf numFmtId="4" fontId="34" fillId="0" borderId="3" xfId="0" applyNumberFormat="1" applyFont="1" applyFill="1" applyBorder="1"/>
    <xf numFmtId="4" fontId="6" fillId="0" borderId="3" xfId="0" applyNumberFormat="1" applyFont="1" applyFill="1" applyBorder="1" applyAlignment="1">
      <alignment horizontal="center"/>
    </xf>
    <xf numFmtId="4" fontId="34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" fontId="6" fillId="0" borderId="0" xfId="0" applyNumberFormat="1" applyFont="1" applyFill="1"/>
    <xf numFmtId="4" fontId="34" fillId="0" borderId="0" xfId="0" applyNumberFormat="1" applyFont="1" applyFill="1"/>
    <xf numFmtId="0" fontId="6" fillId="0" borderId="1" xfId="0" applyFont="1" applyFill="1" applyBorder="1" applyAlignment="1">
      <alignment horizontal="left"/>
    </xf>
    <xf numFmtId="4" fontId="31" fillId="9" borderId="5" xfId="3" applyNumberFormat="1" applyFont="1" applyFill="1" applyBorder="1" applyAlignment="1">
      <alignment horizontal="right" wrapText="1"/>
    </xf>
    <xf numFmtId="0" fontId="7" fillId="9" borderId="0" xfId="1" applyFont="1" applyFill="1"/>
    <xf numFmtId="0" fontId="10" fillId="9" borderId="3" xfId="1" applyFont="1" applyFill="1" applyBorder="1"/>
    <xf numFmtId="4" fontId="11" fillId="9" borderId="0" xfId="1" applyNumberFormat="1" applyFont="1" applyFill="1"/>
    <xf numFmtId="4" fontId="7" fillId="9" borderId="0" xfId="1" applyNumberFormat="1" applyFont="1" applyFill="1"/>
    <xf numFmtId="4" fontId="36" fillId="9" borderId="3" xfId="0" applyNumberFormat="1" applyFont="1" applyFill="1" applyBorder="1"/>
    <xf numFmtId="4" fontId="17" fillId="9" borderId="3" xfId="0" applyNumberFormat="1" applyFont="1" applyFill="1" applyBorder="1"/>
    <xf numFmtId="4" fontId="37" fillId="9" borderId="3" xfId="0" applyNumberFormat="1" applyFont="1" applyFill="1" applyBorder="1"/>
    <xf numFmtId="4" fontId="38" fillId="9" borderId="3" xfId="0" applyNumberFormat="1" applyFont="1" applyFill="1" applyBorder="1"/>
    <xf numFmtId="4" fontId="39" fillId="9" borderId="3" xfId="0" applyNumberFormat="1" applyFont="1" applyFill="1" applyBorder="1"/>
    <xf numFmtId="4" fontId="9" fillId="9" borderId="3" xfId="0" applyNumberFormat="1" applyFont="1" applyFill="1" applyBorder="1"/>
    <xf numFmtId="0" fontId="3" fillId="0" borderId="3" xfId="1" applyFont="1" applyBorder="1" applyAlignment="1">
      <alignment horizontal="left"/>
    </xf>
    <xf numFmtId="49" fontId="10" fillId="5" borderId="3" xfId="1" applyNumberFormat="1" applyFont="1" applyFill="1" applyBorder="1" applyAlignment="1">
      <alignment horizontal="center"/>
    </xf>
    <xf numFmtId="4" fontId="10" fillId="5" borderId="3" xfId="1" applyNumberFormat="1" applyFont="1" applyFill="1" applyBorder="1" applyAlignment="1">
      <alignment horizontal="right"/>
    </xf>
    <xf numFmtId="49" fontId="10" fillId="5" borderId="9" xfId="2" applyNumberFormat="1" applyFont="1" applyFill="1" applyBorder="1" applyAlignment="1">
      <alignment horizontal="left" vertical="center"/>
    </xf>
    <xf numFmtId="4" fontId="36" fillId="5" borderId="3" xfId="1" applyNumberFormat="1" applyFont="1" applyFill="1" applyBorder="1" applyAlignment="1">
      <alignment horizontal="right"/>
    </xf>
    <xf numFmtId="4" fontId="11" fillId="0" borderId="5" xfId="3" applyNumberFormat="1" applyFont="1" applyFill="1" applyBorder="1" applyAlignment="1">
      <alignment horizontal="right" wrapText="1"/>
    </xf>
    <xf numFmtId="49" fontId="3" fillId="5" borderId="3" xfId="1" applyNumberFormat="1" applyFont="1" applyFill="1" applyBorder="1" applyAlignment="1">
      <alignment horizontal="center"/>
    </xf>
    <xf numFmtId="4" fontId="3" fillId="5" borderId="3" xfId="1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4" fontId="36" fillId="10" borderId="3" xfId="0" applyNumberFormat="1" applyFont="1" applyFill="1" applyBorder="1" applyAlignment="1">
      <alignment vertical="center"/>
    </xf>
    <xf numFmtId="1" fontId="9" fillId="0" borderId="6" xfId="1" applyNumberFormat="1" applyFont="1" applyFill="1" applyBorder="1" applyAlignment="1">
      <alignment horizontal="center" vertical="center"/>
    </xf>
    <xf numFmtId="4" fontId="10" fillId="2" borderId="3" xfId="1" applyNumberFormat="1" applyFont="1" applyFill="1" applyBorder="1"/>
    <xf numFmtId="0" fontId="10" fillId="0" borderId="5" xfId="1" applyFont="1" applyFill="1" applyBorder="1" applyAlignment="1">
      <alignment horizontal="center" vertical="center"/>
    </xf>
    <xf numFmtId="4" fontId="17" fillId="0" borderId="3" xfId="0" applyNumberFormat="1" applyFont="1" applyFill="1" applyBorder="1"/>
    <xf numFmtId="4" fontId="11" fillId="6" borderId="5" xfId="3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left" wrapText="1"/>
    </xf>
    <xf numFmtId="0" fontId="0" fillId="0" borderId="3" xfId="0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5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7" fillId="9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2" fontId="25" fillId="0" borderId="25" xfId="6" applyNumberFormat="1" applyFont="1" applyFill="1" applyBorder="1" applyAlignment="1">
      <alignment horizontal="left" wrapText="1"/>
    </xf>
    <xf numFmtId="2" fontId="25" fillId="0" borderId="2" xfId="6" applyNumberFormat="1" applyFont="1" applyFill="1" applyBorder="1" applyAlignment="1">
      <alignment horizontal="left" wrapText="1"/>
    </xf>
    <xf numFmtId="2" fontId="25" fillId="0" borderId="26" xfId="6" applyNumberFormat="1" applyFont="1" applyFill="1" applyBorder="1" applyAlignment="1">
      <alignment horizontal="left" wrapText="1"/>
    </xf>
    <xf numFmtId="2" fontId="25" fillId="0" borderId="27" xfId="6" applyNumberFormat="1" applyFont="1" applyFill="1" applyBorder="1" applyAlignment="1">
      <alignment horizontal="left" wrapText="1"/>
    </xf>
    <xf numFmtId="2" fontId="25" fillId="0" borderId="1" xfId="6" applyNumberFormat="1" applyFont="1" applyFill="1" applyBorder="1" applyAlignment="1">
      <alignment horizontal="left" wrapText="1"/>
    </xf>
    <xf numFmtId="2" fontId="25" fillId="0" borderId="28" xfId="6" applyNumberFormat="1" applyFont="1" applyFill="1" applyBorder="1" applyAlignment="1">
      <alignment horizontal="left" wrapText="1"/>
    </xf>
    <xf numFmtId="2" fontId="26" fillId="0" borderId="8" xfId="6" applyNumberFormat="1" applyFont="1" applyFill="1" applyBorder="1" applyAlignment="1">
      <alignment horizontal="left" wrapText="1"/>
    </xf>
    <xf numFmtId="2" fontId="26" fillId="0" borderId="10" xfId="6" applyNumberFormat="1" applyFont="1" applyFill="1" applyBorder="1" applyAlignment="1">
      <alignment horizontal="left" wrapText="1"/>
    </xf>
    <xf numFmtId="2" fontId="26" fillId="0" borderId="9" xfId="6" applyNumberFormat="1" applyFont="1" applyFill="1" applyBorder="1" applyAlignment="1">
      <alignment horizontal="left" wrapText="1"/>
    </xf>
    <xf numFmtId="1" fontId="25" fillId="0" borderId="3" xfId="6" applyNumberFormat="1" applyFont="1" applyFill="1" applyBorder="1" applyAlignment="1">
      <alignment horizontal="center" wrapText="1"/>
    </xf>
    <xf numFmtId="2" fontId="25" fillId="0" borderId="3" xfId="6" applyNumberFormat="1" applyFont="1" applyFill="1" applyBorder="1" applyAlignment="1">
      <alignment horizontal="center"/>
    </xf>
    <xf numFmtId="4" fontId="25" fillId="0" borderId="3" xfId="6" applyNumberFormat="1" applyFont="1" applyFill="1" applyBorder="1" applyAlignment="1">
      <alignment horizontal="center" wrapText="1"/>
    </xf>
    <xf numFmtId="1" fontId="26" fillId="0" borderId="8" xfId="6" applyNumberFormat="1" applyFont="1" applyFill="1" applyBorder="1" applyAlignment="1">
      <alignment horizontal="center" vertical="center" wrapText="1"/>
    </xf>
    <xf numFmtId="1" fontId="26" fillId="0" borderId="10" xfId="6" applyNumberFormat="1" applyFont="1" applyFill="1" applyBorder="1" applyAlignment="1">
      <alignment horizontal="center" vertical="center" wrapText="1"/>
    </xf>
    <xf numFmtId="1" fontId="26" fillId="0" borderId="9" xfId="6" applyNumberFormat="1" applyFont="1" applyFill="1" applyBorder="1" applyAlignment="1">
      <alignment horizontal="center" vertical="center" wrapText="1"/>
    </xf>
    <xf numFmtId="0" fontId="25" fillId="0" borderId="3" xfId="6" applyFont="1" applyFill="1" applyBorder="1" applyAlignment="1">
      <alignment horizontal="center" vertical="top" wrapText="1"/>
    </xf>
    <xf numFmtId="2" fontId="25" fillId="0" borderId="3" xfId="6" applyNumberFormat="1" applyFont="1" applyFill="1" applyBorder="1" applyAlignment="1">
      <alignment horizontal="center" vertical="top" wrapText="1"/>
    </xf>
    <xf numFmtId="0" fontId="25" fillId="0" borderId="3" xfId="6" applyFont="1" applyFill="1" applyBorder="1" applyAlignment="1">
      <alignment horizontal="center" vertical="top"/>
    </xf>
    <xf numFmtId="1" fontId="25" fillId="0" borderId="8" xfId="6" applyNumberFormat="1" applyFont="1" applyFill="1" applyBorder="1" applyAlignment="1">
      <alignment horizontal="center" vertical="center" wrapText="1"/>
    </xf>
    <xf numFmtId="1" fontId="25" fillId="0" borderId="10" xfId="6" applyNumberFormat="1" applyFont="1" applyFill="1" applyBorder="1" applyAlignment="1">
      <alignment horizontal="center" vertical="center" wrapText="1"/>
    </xf>
    <xf numFmtId="1" fontId="25" fillId="0" borderId="9" xfId="6" applyNumberFormat="1" applyFont="1" applyFill="1" applyBorder="1" applyAlignment="1">
      <alignment horizontal="center" vertical="center" wrapText="1"/>
    </xf>
    <xf numFmtId="1" fontId="25" fillId="0" borderId="3" xfId="6" applyNumberFormat="1" applyFont="1" applyFill="1" applyBorder="1" applyAlignment="1">
      <alignment horizontal="center" vertical="center" wrapText="1"/>
    </xf>
    <xf numFmtId="4" fontId="25" fillId="0" borderId="9" xfId="6" applyNumberFormat="1" applyFont="1" applyFill="1" applyBorder="1" applyAlignment="1">
      <alignment horizontal="center" wrapText="1"/>
    </xf>
    <xf numFmtId="2" fontId="25" fillId="0" borderId="8" xfId="6" applyNumberFormat="1" applyFont="1" applyFill="1" applyBorder="1" applyAlignment="1">
      <alignment horizontal="left" wrapText="1"/>
    </xf>
    <xf numFmtId="2" fontId="25" fillId="0" borderId="10" xfId="6" applyNumberFormat="1" applyFont="1" applyFill="1" applyBorder="1" applyAlignment="1">
      <alignment horizontal="left" wrapText="1"/>
    </xf>
    <xf numFmtId="2" fontId="25" fillId="0" borderId="9" xfId="6" applyNumberFormat="1" applyFont="1" applyFill="1" applyBorder="1" applyAlignment="1">
      <alignment horizontal="left" wrapText="1"/>
    </xf>
    <xf numFmtId="4" fontId="25" fillId="0" borderId="6" xfId="6" applyNumberFormat="1" applyFont="1" applyFill="1" applyBorder="1" applyAlignment="1">
      <alignment horizontal="center" wrapText="1"/>
    </xf>
    <xf numFmtId="4" fontId="25" fillId="0" borderId="7" xfId="6" applyNumberFormat="1" applyFont="1" applyFill="1" applyBorder="1" applyAlignment="1">
      <alignment horizontal="center" wrapText="1"/>
    </xf>
    <xf numFmtId="4" fontId="25" fillId="0" borderId="8" xfId="6" applyNumberFormat="1" applyFont="1" applyFill="1" applyBorder="1" applyAlignment="1">
      <alignment horizontal="center" wrapText="1"/>
    </xf>
    <xf numFmtId="4" fontId="25" fillId="0" borderId="29" xfId="6" applyNumberFormat="1" applyFont="1" applyFill="1" applyBorder="1" applyAlignment="1">
      <alignment horizontal="center" wrapText="1"/>
    </xf>
    <xf numFmtId="4" fontId="25" fillId="0" borderId="30" xfId="6" applyNumberFormat="1" applyFont="1" applyFill="1" applyBorder="1" applyAlignment="1">
      <alignment horizontal="center" wrapText="1"/>
    </xf>
    <xf numFmtId="4" fontId="25" fillId="0" borderId="31" xfId="6" applyNumberFormat="1" applyFont="1" applyFill="1" applyBorder="1" applyAlignment="1">
      <alignment horizontal="center" wrapText="1"/>
    </xf>
    <xf numFmtId="4" fontId="27" fillId="0" borderId="29" xfId="6" applyNumberFormat="1" applyFont="1" applyFill="1" applyBorder="1" applyAlignment="1">
      <alignment horizontal="center" wrapText="1"/>
    </xf>
    <xf numFmtId="4" fontId="27" fillId="0" borderId="30" xfId="6" applyNumberFormat="1" applyFont="1" applyFill="1" applyBorder="1" applyAlignment="1">
      <alignment horizontal="center" wrapText="1"/>
    </xf>
    <xf numFmtId="4" fontId="27" fillId="0" borderId="31" xfId="6" applyNumberFormat="1" applyFont="1" applyFill="1" applyBorder="1" applyAlignment="1">
      <alignment horizontal="center" wrapText="1"/>
    </xf>
    <xf numFmtId="1" fontId="25" fillId="0" borderId="8" xfId="6" applyNumberFormat="1" applyFont="1" applyFill="1" applyBorder="1" applyAlignment="1">
      <alignment horizontal="center" wrapText="1"/>
    </xf>
    <xf numFmtId="1" fontId="25" fillId="0" borderId="10" xfId="6" applyNumberFormat="1" applyFont="1" applyFill="1" applyBorder="1" applyAlignment="1">
      <alignment horizontal="center" wrapText="1"/>
    </xf>
    <xf numFmtId="1" fontId="25" fillId="0" borderId="9" xfId="6" applyNumberFormat="1" applyFont="1" applyFill="1" applyBorder="1" applyAlignment="1">
      <alignment horizontal="center" wrapText="1"/>
    </xf>
    <xf numFmtId="4" fontId="25" fillId="0" borderId="10" xfId="6" applyNumberFormat="1" applyFont="1" applyFill="1" applyBorder="1" applyAlignment="1">
      <alignment horizontal="center" wrapText="1"/>
    </xf>
    <xf numFmtId="4" fontId="27" fillId="0" borderId="5" xfId="6" applyNumberFormat="1" applyFont="1" applyFill="1" applyBorder="1" applyAlignment="1">
      <alignment horizontal="center" wrapText="1"/>
    </xf>
    <xf numFmtId="4" fontId="25" fillId="0" borderId="12" xfId="6" applyNumberFormat="1" applyFont="1" applyFill="1" applyBorder="1" applyAlignment="1">
      <alignment horizontal="center" wrapText="1"/>
    </xf>
    <xf numFmtId="4" fontId="25" fillId="0" borderId="32" xfId="6" applyNumberFormat="1" applyFont="1" applyFill="1" applyBorder="1" applyAlignment="1">
      <alignment horizontal="center" wrapText="1"/>
    </xf>
    <xf numFmtId="4" fontId="25" fillId="0" borderId="13" xfId="6" applyNumberFormat="1" applyFont="1" applyFill="1" applyBorder="1" applyAlignment="1">
      <alignment horizontal="center" wrapText="1"/>
    </xf>
    <xf numFmtId="4" fontId="25" fillId="0" borderId="33" xfId="6" applyNumberFormat="1" applyFont="1" applyFill="1" applyBorder="1" applyAlignment="1">
      <alignment horizontal="center" wrapText="1"/>
    </xf>
    <xf numFmtId="4" fontId="25" fillId="0" borderId="0" xfId="6" applyNumberFormat="1" applyFont="1" applyFill="1" applyBorder="1" applyAlignment="1">
      <alignment horizontal="center" wrapText="1"/>
    </xf>
    <xf numFmtId="4" fontId="25" fillId="0" borderId="4" xfId="6" applyNumberFormat="1" applyFont="1" applyFill="1" applyBorder="1" applyAlignment="1">
      <alignment horizontal="center" wrapText="1"/>
    </xf>
    <xf numFmtId="4" fontId="27" fillId="0" borderId="3" xfId="6" applyNumberFormat="1" applyFont="1" applyFill="1" applyBorder="1" applyAlignment="1">
      <alignment horizontal="center" wrapText="1"/>
    </xf>
    <xf numFmtId="4" fontId="25" fillId="0" borderId="5" xfId="6" applyNumberFormat="1" applyFont="1" applyFill="1" applyBorder="1" applyAlignment="1">
      <alignment horizontal="center" wrapText="1"/>
    </xf>
    <xf numFmtId="4" fontId="25" fillId="0" borderId="27" xfId="6" applyNumberFormat="1" applyFont="1" applyFill="1" applyBorder="1" applyAlignment="1">
      <alignment horizontal="center" wrapText="1"/>
    </xf>
    <xf numFmtId="4" fontId="25" fillId="0" borderId="1" xfId="6" applyNumberFormat="1" applyFont="1" applyFill="1" applyBorder="1" applyAlignment="1">
      <alignment horizontal="center" wrapText="1"/>
    </xf>
    <xf numFmtId="4" fontId="25" fillId="0" borderId="28" xfId="6" applyNumberFormat="1" applyFont="1" applyFill="1" applyBorder="1" applyAlignment="1">
      <alignment horizontal="center" wrapText="1"/>
    </xf>
    <xf numFmtId="2" fontId="25" fillId="0" borderId="8" xfId="6" applyNumberFormat="1" applyFont="1" applyFill="1" applyBorder="1" applyAlignment="1">
      <alignment horizontal="center" wrapText="1"/>
    </xf>
    <xf numFmtId="2" fontId="25" fillId="0" borderId="10" xfId="6" applyNumberFormat="1" applyFont="1" applyFill="1" applyBorder="1" applyAlignment="1">
      <alignment horizontal="center" wrapText="1"/>
    </xf>
    <xf numFmtId="2" fontId="25" fillId="0" borderId="9" xfId="6" applyNumberFormat="1" applyFont="1" applyFill="1" applyBorder="1" applyAlignment="1">
      <alignment horizontal="center" wrapText="1"/>
    </xf>
    <xf numFmtId="1" fontId="25" fillId="0" borderId="25" xfId="6" applyNumberFormat="1" applyFont="1" applyFill="1" applyBorder="1" applyAlignment="1">
      <alignment horizontal="center" wrapText="1"/>
    </xf>
    <xf numFmtId="1" fontId="25" fillId="0" borderId="2" xfId="6" applyNumberFormat="1" applyFont="1" applyFill="1" applyBorder="1" applyAlignment="1">
      <alignment horizontal="center" wrapText="1"/>
    </xf>
    <xf numFmtId="1" fontId="25" fillId="0" borderId="26" xfId="6" applyNumberFormat="1" applyFont="1" applyFill="1" applyBorder="1" applyAlignment="1">
      <alignment horizontal="center" wrapText="1"/>
    </xf>
    <xf numFmtId="1" fontId="25" fillId="0" borderId="27" xfId="6" applyNumberFormat="1" applyFont="1" applyFill="1" applyBorder="1" applyAlignment="1">
      <alignment horizontal="center" wrapText="1"/>
    </xf>
    <xf numFmtId="1" fontId="25" fillId="0" borderId="1" xfId="6" applyNumberFormat="1" applyFont="1" applyFill="1" applyBorder="1" applyAlignment="1">
      <alignment horizontal="center" wrapText="1"/>
    </xf>
    <xf numFmtId="1" fontId="25" fillId="0" borderId="28" xfId="6" applyNumberFormat="1" applyFont="1" applyFill="1" applyBorder="1" applyAlignment="1">
      <alignment horizontal="center" wrapText="1"/>
    </xf>
    <xf numFmtId="4" fontId="25" fillId="0" borderId="25" xfId="6" applyNumberFormat="1" applyFont="1" applyFill="1" applyBorder="1" applyAlignment="1">
      <alignment horizontal="center" wrapText="1"/>
    </xf>
    <xf numFmtId="4" fontId="25" fillId="0" borderId="2" xfId="6" applyNumberFormat="1" applyFont="1" applyFill="1" applyBorder="1" applyAlignment="1">
      <alignment horizontal="center" wrapText="1"/>
    </xf>
    <xf numFmtId="4" fontId="25" fillId="0" borderId="26" xfId="6" applyNumberFormat="1" applyFont="1" applyFill="1" applyBorder="1" applyAlignment="1">
      <alignment horizontal="center" wrapText="1"/>
    </xf>
    <xf numFmtId="4" fontId="25" fillId="0" borderId="34" xfId="6" applyNumberFormat="1" applyFont="1" applyFill="1" applyBorder="1" applyAlignment="1">
      <alignment horizontal="center"/>
    </xf>
    <xf numFmtId="4" fontId="25" fillId="0" borderId="35" xfId="6" applyNumberFormat="1" applyFont="1" applyFill="1" applyBorder="1" applyAlignment="1">
      <alignment horizontal="center"/>
    </xf>
    <xf numFmtId="4" fontId="25" fillId="0" borderId="36" xfId="6" applyNumberFormat="1" applyFont="1" applyFill="1" applyBorder="1" applyAlignment="1">
      <alignment horizontal="center"/>
    </xf>
    <xf numFmtId="4" fontId="25" fillId="0" borderId="37" xfId="6" applyNumberFormat="1" applyFont="1" applyFill="1" applyBorder="1" applyAlignment="1">
      <alignment horizontal="center"/>
    </xf>
    <xf numFmtId="4" fontId="25" fillId="0" borderId="38" xfId="6" applyNumberFormat="1" applyFont="1" applyFill="1" applyBorder="1" applyAlignment="1">
      <alignment horizontal="center"/>
    </xf>
    <xf numFmtId="4" fontId="25" fillId="0" borderId="39" xfId="6" applyNumberFormat="1" applyFont="1" applyFill="1" applyBorder="1" applyAlignment="1">
      <alignment horizontal="center"/>
    </xf>
    <xf numFmtId="4" fontId="25" fillId="0" borderId="34" xfId="6" applyNumberFormat="1" applyFont="1" applyFill="1" applyBorder="1" applyAlignment="1">
      <alignment horizontal="center" wrapText="1"/>
    </xf>
    <xf numFmtId="4" fontId="25" fillId="0" borderId="35" xfId="6" applyNumberFormat="1" applyFont="1" applyFill="1" applyBorder="1" applyAlignment="1">
      <alignment horizontal="center" wrapText="1"/>
    </xf>
    <xf numFmtId="4" fontId="25" fillId="0" borderId="36" xfId="6" applyNumberFormat="1" applyFont="1" applyFill="1" applyBorder="1" applyAlignment="1">
      <alignment horizontal="center" wrapText="1"/>
    </xf>
    <xf numFmtId="4" fontId="25" fillId="0" borderId="37" xfId="6" applyNumberFormat="1" applyFont="1" applyFill="1" applyBorder="1" applyAlignment="1">
      <alignment horizontal="center" wrapText="1"/>
    </xf>
    <xf numFmtId="4" fontId="25" fillId="0" borderId="38" xfId="6" applyNumberFormat="1" applyFont="1" applyFill="1" applyBorder="1" applyAlignment="1">
      <alignment horizontal="center" wrapText="1"/>
    </xf>
    <xf numFmtId="4" fontId="25" fillId="0" borderId="39" xfId="6" applyNumberFormat="1" applyFont="1" applyFill="1" applyBorder="1" applyAlignment="1">
      <alignment horizontal="center" wrapText="1"/>
    </xf>
    <xf numFmtId="4" fontId="25" fillId="0" borderId="8" xfId="6" applyNumberFormat="1" applyFont="1" applyFill="1" applyBorder="1" applyAlignment="1">
      <alignment horizontal="center"/>
    </xf>
    <xf numFmtId="4" fontId="25" fillId="0" borderId="10" xfId="6" applyNumberFormat="1" applyFont="1" applyFill="1" applyBorder="1" applyAlignment="1">
      <alignment horizontal="center"/>
    </xf>
    <xf numFmtId="4" fontId="25" fillId="0" borderId="9" xfId="6" applyNumberFormat="1" applyFont="1" applyFill="1" applyBorder="1" applyAlignment="1">
      <alignment horizontal="center"/>
    </xf>
    <xf numFmtId="4" fontId="25" fillId="0" borderId="12" xfId="6" applyNumberFormat="1" applyFont="1" applyFill="1" applyBorder="1" applyAlignment="1">
      <alignment horizontal="center"/>
    </xf>
    <xf numFmtId="4" fontId="25" fillId="0" borderId="32" xfId="6" applyNumberFormat="1" applyFont="1" applyFill="1" applyBorder="1" applyAlignment="1">
      <alignment horizontal="center"/>
    </xf>
    <xf numFmtId="4" fontId="25" fillId="0" borderId="13" xfId="6" applyNumberFormat="1" applyFont="1" applyFill="1" applyBorder="1" applyAlignment="1">
      <alignment horizontal="center"/>
    </xf>
    <xf numFmtId="4" fontId="27" fillId="0" borderId="27" xfId="6" applyNumberFormat="1" applyFont="1" applyFill="1" applyBorder="1" applyAlignment="1">
      <alignment horizontal="center" wrapText="1"/>
    </xf>
    <xf numFmtId="4" fontId="27" fillId="0" borderId="1" xfId="6" applyNumberFormat="1" applyFont="1" applyFill="1" applyBorder="1" applyAlignment="1">
      <alignment horizontal="center" wrapText="1"/>
    </xf>
    <xf numFmtId="4" fontId="27" fillId="0" borderId="28" xfId="6" applyNumberFormat="1" applyFont="1" applyFill="1" applyBorder="1" applyAlignment="1">
      <alignment horizontal="center" wrapText="1"/>
    </xf>
    <xf numFmtId="2" fontId="26" fillId="0" borderId="25" xfId="0" applyNumberFormat="1" applyFont="1" applyFill="1" applyBorder="1" applyAlignment="1">
      <alignment horizontal="left" wrapText="1"/>
    </xf>
    <xf numFmtId="2" fontId="26" fillId="0" borderId="2" xfId="0" applyNumberFormat="1" applyFont="1" applyFill="1" applyBorder="1" applyAlignment="1">
      <alignment horizontal="left" wrapText="1"/>
    </xf>
    <xf numFmtId="2" fontId="26" fillId="0" borderId="26" xfId="0" applyNumberFormat="1" applyFont="1" applyFill="1" applyBorder="1" applyAlignment="1">
      <alignment horizontal="left" wrapText="1"/>
    </xf>
    <xf numFmtId="2" fontId="25" fillId="0" borderId="27" xfId="0" applyNumberFormat="1" applyFont="1" applyFill="1" applyBorder="1" applyAlignment="1">
      <alignment horizontal="left" wrapText="1"/>
    </xf>
    <xf numFmtId="2" fontId="25" fillId="0" borderId="1" xfId="0" applyNumberFormat="1" applyFont="1" applyFill="1" applyBorder="1" applyAlignment="1">
      <alignment horizontal="left" wrapText="1"/>
    </xf>
    <xf numFmtId="2" fontId="25" fillId="0" borderId="28" xfId="0" applyNumberFormat="1" applyFont="1" applyFill="1" applyBorder="1" applyAlignment="1">
      <alignment horizontal="left" wrapText="1"/>
    </xf>
    <xf numFmtId="2" fontId="25" fillId="5" borderId="33" xfId="6" applyNumberFormat="1" applyFont="1" applyFill="1" applyBorder="1" applyAlignment="1">
      <alignment horizontal="left" wrapText="1"/>
    </xf>
    <xf numFmtId="2" fontId="25" fillId="5" borderId="0" xfId="6" applyNumberFormat="1" applyFont="1" applyFill="1" applyBorder="1" applyAlignment="1">
      <alignment horizontal="left" wrapText="1"/>
    </xf>
    <xf numFmtId="2" fontId="25" fillId="5" borderId="4" xfId="6" applyNumberFormat="1" applyFont="1" applyFill="1" applyBorder="1" applyAlignment="1">
      <alignment horizontal="left" wrapText="1"/>
    </xf>
    <xf numFmtId="2" fontId="25" fillId="0" borderId="25" xfId="6" applyNumberFormat="1" applyFont="1" applyFill="1" applyBorder="1" applyAlignment="1">
      <alignment horizontal="center" wrapText="1"/>
    </xf>
    <xf numFmtId="2" fontId="25" fillId="0" borderId="2" xfId="6" applyNumberFormat="1" applyFont="1" applyFill="1" applyBorder="1" applyAlignment="1">
      <alignment horizontal="center" wrapText="1"/>
    </xf>
    <xf numFmtId="2" fontId="25" fillId="0" borderId="26" xfId="6" applyNumberFormat="1" applyFont="1" applyFill="1" applyBorder="1" applyAlignment="1">
      <alignment horizontal="center" wrapText="1"/>
    </xf>
    <xf numFmtId="2" fontId="25" fillId="0" borderId="27" xfId="6" applyNumberFormat="1" applyFont="1" applyFill="1" applyBorder="1" applyAlignment="1">
      <alignment horizontal="center" wrapText="1"/>
    </xf>
    <xf numFmtId="2" fontId="25" fillId="0" borderId="1" xfId="6" applyNumberFormat="1" applyFont="1" applyFill="1" applyBorder="1" applyAlignment="1">
      <alignment horizontal="center" wrapText="1"/>
    </xf>
    <xf numFmtId="2" fontId="25" fillId="0" borderId="28" xfId="6" applyNumberFormat="1" applyFont="1" applyFill="1" applyBorder="1" applyAlignment="1">
      <alignment horizontal="center" wrapText="1"/>
    </xf>
    <xf numFmtId="2" fontId="25" fillId="5" borderId="25" xfId="6" applyNumberFormat="1" applyFont="1" applyFill="1" applyBorder="1" applyAlignment="1">
      <alignment horizontal="left" wrapText="1"/>
    </xf>
    <xf numFmtId="2" fontId="25" fillId="5" borderId="2" xfId="6" applyNumberFormat="1" applyFont="1" applyFill="1" applyBorder="1" applyAlignment="1">
      <alignment horizontal="left" wrapText="1"/>
    </xf>
    <xf numFmtId="2" fontId="25" fillId="5" borderId="26" xfId="6" applyNumberFormat="1" applyFont="1" applyFill="1" applyBorder="1" applyAlignment="1">
      <alignment horizontal="left" wrapText="1"/>
    </xf>
    <xf numFmtId="2" fontId="25" fillId="5" borderId="8" xfId="6" applyNumberFormat="1" applyFont="1" applyFill="1" applyBorder="1" applyAlignment="1">
      <alignment horizontal="left" wrapText="1"/>
    </xf>
    <xf numFmtId="2" fontId="25" fillId="5" borderId="10" xfId="6" applyNumberFormat="1" applyFont="1" applyFill="1" applyBorder="1" applyAlignment="1">
      <alignment horizontal="left" wrapText="1"/>
    </xf>
    <xf numFmtId="2" fontId="25" fillId="5" borderId="9" xfId="6" applyNumberFormat="1" applyFont="1" applyFill="1" applyBorder="1" applyAlignment="1">
      <alignment horizontal="left" wrapText="1"/>
    </xf>
    <xf numFmtId="2" fontId="25" fillId="0" borderId="33" xfId="6" applyNumberFormat="1" applyFont="1" applyFill="1" applyBorder="1" applyAlignment="1">
      <alignment horizontal="left" wrapText="1"/>
    </xf>
    <xf numFmtId="2" fontId="25" fillId="0" borderId="0" xfId="6" applyNumberFormat="1" applyFont="1" applyFill="1" applyBorder="1" applyAlignment="1">
      <alignment horizontal="left" wrapText="1"/>
    </xf>
    <xf numFmtId="2" fontId="25" fillId="0" borderId="4" xfId="6" applyNumberFormat="1" applyFont="1" applyFill="1" applyBorder="1" applyAlignment="1">
      <alignment horizontal="left" wrapText="1"/>
    </xf>
    <xf numFmtId="4" fontId="25" fillId="0" borderId="25" xfId="6" applyNumberFormat="1" applyFont="1" applyFill="1" applyBorder="1" applyAlignment="1">
      <alignment horizontal="center"/>
    </xf>
    <xf numFmtId="4" fontId="25" fillId="0" borderId="2" xfId="6" applyNumberFormat="1" applyFont="1" applyFill="1" applyBorder="1" applyAlignment="1">
      <alignment horizontal="center"/>
    </xf>
    <xf numFmtId="4" fontId="25" fillId="0" borderId="26" xfId="6" applyNumberFormat="1" applyFont="1" applyFill="1" applyBorder="1" applyAlignment="1">
      <alignment horizontal="center"/>
    </xf>
    <xf numFmtId="4" fontId="25" fillId="0" borderId="27" xfId="6" applyNumberFormat="1" applyFont="1" applyFill="1" applyBorder="1" applyAlignment="1">
      <alignment horizontal="center"/>
    </xf>
    <xf numFmtId="4" fontId="25" fillId="0" borderId="1" xfId="6" applyNumberFormat="1" applyFont="1" applyFill="1" applyBorder="1" applyAlignment="1">
      <alignment horizontal="center"/>
    </xf>
    <xf numFmtId="4" fontId="25" fillId="0" borderId="28" xfId="6" applyNumberFormat="1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left" wrapText="1"/>
    </xf>
    <xf numFmtId="2" fontId="25" fillId="0" borderId="2" xfId="0" applyNumberFormat="1" applyFont="1" applyFill="1" applyBorder="1" applyAlignment="1">
      <alignment horizontal="left" wrapText="1"/>
    </xf>
    <xf numFmtId="2" fontId="25" fillId="0" borderId="26" xfId="0" applyNumberFormat="1" applyFont="1" applyFill="1" applyBorder="1" applyAlignment="1">
      <alignment horizontal="left" wrapText="1"/>
    </xf>
    <xf numFmtId="0" fontId="26" fillId="0" borderId="0" xfId="6" applyFont="1" applyFill="1" applyBorder="1" applyAlignment="1">
      <alignment horizontal="center"/>
    </xf>
    <xf numFmtId="4" fontId="27" fillId="0" borderId="10" xfId="6" applyNumberFormat="1" applyFont="1" applyFill="1" applyBorder="1" applyAlignment="1">
      <alignment horizontal="center"/>
    </xf>
    <xf numFmtId="4" fontId="27" fillId="0" borderId="9" xfId="6" applyNumberFormat="1" applyFont="1" applyFill="1" applyBorder="1" applyAlignment="1">
      <alignment horizontal="center"/>
    </xf>
    <xf numFmtId="4" fontId="27" fillId="0" borderId="8" xfId="6" applyNumberFormat="1" applyFont="1" applyFill="1" applyBorder="1" applyAlignment="1">
      <alignment horizontal="center" wrapText="1"/>
    </xf>
    <xf numFmtId="4" fontId="27" fillId="0" borderId="10" xfId="6" applyNumberFormat="1" applyFont="1" applyFill="1" applyBorder="1" applyAlignment="1">
      <alignment horizontal="center" wrapText="1"/>
    </xf>
    <xf numFmtId="4" fontId="27" fillId="0" borderId="9" xfId="6" applyNumberFormat="1" applyFont="1" applyFill="1" applyBorder="1" applyAlignment="1">
      <alignment horizontal="center" wrapText="1"/>
    </xf>
    <xf numFmtId="2" fontId="25" fillId="0" borderId="8" xfId="0" applyNumberFormat="1" applyFont="1" applyFill="1" applyBorder="1" applyAlignment="1">
      <alignment horizontal="left" wrapText="1"/>
    </xf>
    <xf numFmtId="2" fontId="25" fillId="0" borderId="10" xfId="0" applyNumberFormat="1" applyFont="1" applyFill="1" applyBorder="1" applyAlignment="1">
      <alignment horizontal="left" wrapText="1"/>
    </xf>
    <xf numFmtId="2" fontId="25" fillId="0" borderId="9" xfId="0" applyNumberFormat="1" applyFont="1" applyFill="1" applyBorder="1" applyAlignment="1">
      <alignment horizontal="left" wrapText="1"/>
    </xf>
    <xf numFmtId="1" fontId="25" fillId="0" borderId="3" xfId="6" applyNumberFormat="1" applyFont="1" applyFill="1" applyBorder="1" applyAlignment="1">
      <alignment horizontal="center" vertical="top" wrapText="1"/>
    </xf>
    <xf numFmtId="2" fontId="25" fillId="0" borderId="3" xfId="6" applyNumberFormat="1" applyFont="1" applyFill="1" applyBorder="1" applyAlignment="1">
      <alignment horizontal="left" vertical="top" wrapText="1"/>
    </xf>
    <xf numFmtId="1" fontId="25" fillId="0" borderId="3" xfId="6" applyNumberFormat="1" applyFont="1" applyFill="1" applyBorder="1" applyAlignment="1">
      <alignment horizontal="center" vertical="top"/>
    </xf>
    <xf numFmtId="0" fontId="25" fillId="0" borderId="5" xfId="6" applyFont="1" applyFill="1" applyBorder="1" applyAlignment="1">
      <alignment horizontal="left" wrapText="1"/>
    </xf>
    <xf numFmtId="0" fontId="25" fillId="0" borderId="25" xfId="6" applyFont="1" applyFill="1" applyBorder="1" applyAlignment="1">
      <alignment horizontal="left" wrapText="1"/>
    </xf>
    <xf numFmtId="0" fontId="25" fillId="0" borderId="2" xfId="6" applyFont="1" applyFill="1" applyBorder="1" applyAlignment="1">
      <alignment horizontal="left" wrapText="1"/>
    </xf>
    <xf numFmtId="0" fontId="25" fillId="0" borderId="26" xfId="6" applyFont="1" applyFill="1" applyBorder="1" applyAlignment="1">
      <alignment horizontal="left" wrapText="1"/>
    </xf>
    <xf numFmtId="49" fontId="25" fillId="0" borderId="3" xfId="6" applyNumberFormat="1" applyFont="1" applyFill="1" applyBorder="1" applyAlignment="1">
      <alignment horizontal="center" wrapText="1"/>
    </xf>
    <xf numFmtId="2" fontId="25" fillId="0" borderId="3" xfId="6" applyNumberFormat="1" applyFont="1" applyFill="1" applyBorder="1" applyAlignment="1">
      <alignment horizontal="center" wrapText="1"/>
    </xf>
    <xf numFmtId="0" fontId="25" fillId="0" borderId="6" xfId="6" applyFont="1" applyFill="1" applyBorder="1" applyAlignment="1">
      <alignment horizontal="left" wrapText="1"/>
    </xf>
    <xf numFmtId="4" fontId="25" fillId="0" borderId="29" xfId="6" applyNumberFormat="1" applyFont="1" applyFill="1" applyBorder="1" applyAlignment="1">
      <alignment horizontal="center"/>
    </xf>
    <xf numFmtId="4" fontId="25" fillId="0" borderId="30" xfId="6" applyNumberFormat="1" applyFont="1" applyFill="1" applyBorder="1" applyAlignment="1">
      <alignment horizontal="center"/>
    </xf>
    <xf numFmtId="4" fontId="25" fillId="0" borderId="31" xfId="6" applyNumberFormat="1" applyFont="1" applyFill="1" applyBorder="1" applyAlignment="1">
      <alignment horizontal="center"/>
    </xf>
    <xf numFmtId="0" fontId="25" fillId="0" borderId="3" xfId="6" applyFont="1" applyFill="1" applyBorder="1" applyAlignment="1">
      <alignment horizontal="left" wrapText="1"/>
    </xf>
    <xf numFmtId="0" fontId="25" fillId="0" borderId="3" xfId="6" applyFont="1" applyFill="1" applyBorder="1" applyAlignment="1">
      <alignment horizontal="center"/>
    </xf>
    <xf numFmtId="4" fontId="25" fillId="0" borderId="7" xfId="6" applyNumberFormat="1" applyFont="1" applyFill="1" applyBorder="1" applyAlignment="1">
      <alignment horizontal="center"/>
    </xf>
    <xf numFmtId="4" fontId="25" fillId="0" borderId="40" xfId="6" applyNumberFormat="1" applyFont="1" applyFill="1" applyBorder="1" applyAlignment="1">
      <alignment horizontal="center" wrapText="1"/>
    </xf>
    <xf numFmtId="4" fontId="27" fillId="0" borderId="14" xfId="6" applyNumberFormat="1" applyFont="1" applyFill="1" applyBorder="1" applyAlignment="1">
      <alignment horizontal="center" wrapText="1"/>
    </xf>
    <xf numFmtId="4" fontId="27" fillId="0" borderId="15" xfId="6" applyNumberFormat="1" applyFont="1" applyFill="1" applyBorder="1" applyAlignment="1">
      <alignment horizontal="center" wrapText="1"/>
    </xf>
    <xf numFmtId="4" fontId="27" fillId="0" borderId="16" xfId="6" applyNumberFormat="1" applyFont="1" applyFill="1" applyBorder="1" applyAlignment="1">
      <alignment horizontal="center" wrapText="1"/>
    </xf>
    <xf numFmtId="4" fontId="27" fillId="0" borderId="18" xfId="6" applyNumberFormat="1" applyFont="1" applyFill="1" applyBorder="1" applyAlignment="1">
      <alignment horizontal="center" wrapText="1"/>
    </xf>
    <xf numFmtId="4" fontId="27" fillId="0" borderId="19" xfId="6" applyNumberFormat="1" applyFont="1" applyFill="1" applyBorder="1" applyAlignment="1">
      <alignment horizontal="center" wrapText="1"/>
    </xf>
    <xf numFmtId="4" fontId="27" fillId="0" borderId="20" xfId="6" applyNumberFormat="1" applyFont="1" applyFill="1" applyBorder="1" applyAlignment="1">
      <alignment horizontal="center" wrapText="1"/>
    </xf>
    <xf numFmtId="1" fontId="25" fillId="0" borderId="33" xfId="6" applyNumberFormat="1" applyFont="1" applyFill="1" applyBorder="1" applyAlignment="1">
      <alignment horizontal="center" wrapText="1"/>
    </xf>
    <xf numFmtId="1" fontId="25" fillId="0" borderId="0" xfId="6" applyNumberFormat="1" applyFont="1" applyFill="1" applyBorder="1" applyAlignment="1">
      <alignment horizontal="center" wrapText="1"/>
    </xf>
    <xf numFmtId="1" fontId="25" fillId="0" borderId="4" xfId="6" applyNumberFormat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1" fontId="9" fillId="0" borderId="5" xfId="1" applyNumberFormat="1" applyFont="1" applyBorder="1" applyAlignment="1">
      <alignment horizontal="center" wrapText="1"/>
    </xf>
    <xf numFmtId="1" fontId="9" fillId="0" borderId="7" xfId="1" applyNumberFormat="1" applyFont="1" applyBorder="1" applyAlignment="1">
      <alignment horizontal="center" wrapText="1"/>
    </xf>
    <xf numFmtId="1" fontId="9" fillId="0" borderId="6" xfId="1" applyNumberFormat="1" applyFont="1" applyBorder="1" applyAlignment="1">
      <alignment horizontal="center" wrapText="1"/>
    </xf>
    <xf numFmtId="1" fontId="9" fillId="0" borderId="5" xfId="1" applyNumberFormat="1" applyFont="1" applyFill="1" applyBorder="1" applyAlignment="1">
      <alignment horizontal="center" wrapText="1"/>
    </xf>
    <xf numFmtId="1" fontId="9" fillId="0" borderId="7" xfId="1" applyNumberFormat="1" applyFont="1" applyFill="1" applyBorder="1" applyAlignment="1">
      <alignment horizontal="center" wrapText="1"/>
    </xf>
    <xf numFmtId="1" fontId="9" fillId="0" borderId="6" xfId="1" applyNumberFormat="1" applyFont="1" applyFill="1" applyBorder="1" applyAlignment="1">
      <alignment horizontal="center" wrapText="1"/>
    </xf>
    <xf numFmtId="1" fontId="9" fillId="0" borderId="5" xfId="1" applyNumberFormat="1" applyFont="1" applyFill="1" applyBorder="1" applyAlignment="1">
      <alignment horizontal="center" vertical="center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6" xfId="1" applyNumberFormat="1" applyFont="1" applyFill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wrapText="1"/>
    </xf>
    <xf numFmtId="49" fontId="9" fillId="0" borderId="7" xfId="1" applyNumberFormat="1" applyFont="1" applyBorder="1" applyAlignment="1">
      <alignment horizontal="center" wrapText="1"/>
    </xf>
    <xf numFmtId="0" fontId="3" fillId="0" borderId="8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4" borderId="8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1" fontId="17" fillId="0" borderId="21" xfId="0" applyNumberFormat="1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0" fillId="10" borderId="27" xfId="0" applyFill="1" applyBorder="1" applyAlignment="1">
      <alignment horizontal="center"/>
    </xf>
    <xf numFmtId="0" fontId="0" fillId="10" borderId="1" xfId="0" applyFill="1" applyBorder="1" applyAlignment="1">
      <alignment horizontal="center"/>
    </xf>
  </cellXfs>
  <cellStyles count="15">
    <cellStyle name="Обычный" xfId="0" builtinId="0"/>
    <cellStyle name="Обычный 2" xfId="1"/>
    <cellStyle name="Обычный 2 2" xfId="4"/>
    <cellStyle name="Обычный 2 3" xfId="5"/>
    <cellStyle name="Обычный 2 4" xfId="2"/>
    <cellStyle name="Обычный 3" xfId="3"/>
    <cellStyle name="Обычный 4" xfId="6"/>
    <cellStyle name="Обычный 5" xfId="7"/>
    <cellStyle name="Обычный 7 2" xfId="8"/>
    <cellStyle name="Обычный 7 3" xfId="9"/>
    <cellStyle name="Процентный 2" xfId="10"/>
    <cellStyle name="Процентный 2 2" xfId="11"/>
    <cellStyle name="Процентный 3" xfId="12"/>
    <cellStyle name="Процентный 4" xfId="13"/>
    <cellStyle name="Финансовый 2" xfId="14"/>
  </cellStyles>
  <dxfs count="0"/>
  <tableStyles count="0" defaultTableStyle="TableStyleMedium2" defaultPivotStyle="PivotStyleLight16"/>
  <colors>
    <mruColors>
      <color rgb="FFFFCCFF"/>
      <color rgb="FF0000CC"/>
      <color rgb="FFFFFFCC"/>
      <color rgb="FFFF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2.1.13\&#1055;&#1060;&#1061;&#1044;\2017\&#1050;%20&#1055;&#1060;&#1061;&#1044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верждено"/>
      <sheetName val="Расчет(расходы текущий год)"/>
      <sheetName val="Аутсорсинг"/>
      <sheetName val="ФОТ"/>
      <sheetName val="Закупки"/>
      <sheetName val="ПФХД стр.1"/>
      <sheetName val="ПФХД стр.2"/>
      <sheetName val="ПФХД стр.3"/>
      <sheetName val="ПФХД стр.4"/>
      <sheetName val="ПФХД стр.5"/>
      <sheetName val="ПФХД стр.6"/>
      <sheetName val="с.211.1(квр111)"/>
      <sheetName val="с.211.2(квр112сл.ком)"/>
      <sheetName val="с.211.2(квр112комп)"/>
      <sheetName val="211.4(квр119)"/>
      <sheetName val="с.221-224(квр321,323,340,350)"/>
      <sheetName val="с.231(квр851)"/>
      <sheetName val="с.232(квр852)"/>
      <sheetName val="с.233(квр853)"/>
      <sheetName val="с.250(квр244)"/>
      <sheetName val="с.261(квр244,связь)"/>
      <sheetName val="с261(квр244,транспорт)"/>
      <sheetName val="с261(квр244,комм.ус)"/>
      <sheetName val="с261(квр244,аренда)"/>
      <sheetName val="с.261(квр244,сод.им-ва)"/>
      <sheetName val="с.261(квр244,проч.услуги)"/>
      <sheetName val="с.261(квр244ОС)"/>
      <sheetName val="с.261(квр244МЗ)"/>
      <sheetName val="с.271(квр83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15"/>
  <sheetViews>
    <sheetView view="pageBreakPreview" zoomScale="90" zoomScaleNormal="90" zoomScaleSheetLayoutView="90" workbookViewId="0">
      <selection activeCell="B23" sqref="B23"/>
    </sheetView>
  </sheetViews>
  <sheetFormatPr defaultRowHeight="15" x14ac:dyDescent="0.25"/>
  <cols>
    <col min="1" max="1" width="6.7109375" style="1" customWidth="1"/>
    <col min="2" max="2" width="45.85546875" style="2" customWidth="1"/>
    <col min="3" max="3" width="9.140625" style="1"/>
    <col min="4" max="4" width="13.28515625" style="1" customWidth="1"/>
    <col min="5" max="5" width="10.85546875" style="1" customWidth="1"/>
    <col min="6" max="8" width="13.7109375" style="1" bestFit="1" customWidth="1"/>
    <col min="9" max="9" width="11" style="1" customWidth="1"/>
    <col min="10" max="10" width="8" customWidth="1"/>
  </cols>
  <sheetData>
    <row r="3" spans="1:12" x14ac:dyDescent="0.25">
      <c r="G3" s="318" t="s">
        <v>0</v>
      </c>
      <c r="H3" s="318"/>
      <c r="I3" s="318"/>
    </row>
    <row r="4" spans="1:12" x14ac:dyDescent="0.25">
      <c r="G4" s="319"/>
      <c r="H4" s="319"/>
      <c r="I4" s="319"/>
    </row>
    <row r="5" spans="1:12" ht="55.5" customHeight="1" x14ac:dyDescent="0.25">
      <c r="G5" s="320" t="s">
        <v>1</v>
      </c>
      <c r="H5" s="320"/>
      <c r="I5" s="320"/>
    </row>
    <row r="6" spans="1:12" x14ac:dyDescent="0.25">
      <c r="G6" s="3"/>
      <c r="H6" s="3"/>
      <c r="I6" s="3"/>
    </row>
    <row r="7" spans="1:12" x14ac:dyDescent="0.25">
      <c r="G7" s="319"/>
      <c r="H7" s="319"/>
      <c r="I7" s="319"/>
    </row>
    <row r="8" spans="1:12" x14ac:dyDescent="0.25">
      <c r="G8" s="321" t="s">
        <v>2</v>
      </c>
      <c r="H8" s="321"/>
      <c r="I8" s="321"/>
    </row>
    <row r="9" spans="1:12" x14ac:dyDescent="0.25">
      <c r="G9" s="4"/>
      <c r="H9" s="4"/>
      <c r="I9" s="4"/>
    </row>
    <row r="10" spans="1:12" x14ac:dyDescent="0.25">
      <c r="G10" s="318" t="s">
        <v>3</v>
      </c>
      <c r="H10" s="318"/>
      <c r="I10" s="5"/>
    </row>
    <row r="11" spans="1:12" x14ac:dyDescent="0.25">
      <c r="G11" s="6"/>
      <c r="H11" s="6"/>
      <c r="I11" s="5"/>
    </row>
    <row r="12" spans="1:12" x14ac:dyDescent="0.25">
      <c r="B12" s="5"/>
      <c r="C12" s="5"/>
      <c r="G12" s="318" t="s">
        <v>4</v>
      </c>
      <c r="H12" s="318"/>
      <c r="I12" s="318"/>
    </row>
    <row r="13" spans="1:12" x14ac:dyDescent="0.25">
      <c r="A13" s="7"/>
      <c r="B13" s="5"/>
      <c r="C13" s="8"/>
      <c r="G13" s="319"/>
      <c r="H13" s="319"/>
      <c r="I13" s="319"/>
    </row>
    <row r="14" spans="1:12" ht="32.25" customHeight="1" x14ac:dyDescent="0.25">
      <c r="A14" s="7"/>
      <c r="B14" s="5"/>
      <c r="C14" s="9"/>
      <c r="G14" s="322" t="s">
        <v>5</v>
      </c>
      <c r="H14" s="322"/>
      <c r="I14" s="322"/>
      <c r="J14" s="10"/>
      <c r="K14" s="11"/>
      <c r="L14" s="11"/>
    </row>
    <row r="15" spans="1:12" x14ac:dyDescent="0.25">
      <c r="A15" s="7"/>
      <c r="B15" s="5"/>
      <c r="C15" s="9"/>
      <c r="G15" s="3"/>
      <c r="H15" s="3"/>
      <c r="I15" s="3"/>
      <c r="J15" s="10"/>
      <c r="K15" s="11"/>
      <c r="L15" s="11"/>
    </row>
    <row r="16" spans="1:12" x14ac:dyDescent="0.25">
      <c r="A16" s="7"/>
      <c r="B16" s="5"/>
      <c r="G16" s="319"/>
      <c r="H16" s="319"/>
      <c r="I16" s="319"/>
    </row>
    <row r="17" spans="2:10" x14ac:dyDescent="0.25">
      <c r="B17" s="5"/>
      <c r="C17" s="12"/>
      <c r="G17" s="323" t="s">
        <v>2</v>
      </c>
      <c r="H17" s="323"/>
      <c r="I17" s="323"/>
    </row>
    <row r="18" spans="2:10" x14ac:dyDescent="0.25">
      <c r="B18" s="5"/>
      <c r="C18" s="12"/>
      <c r="G18" s="4"/>
      <c r="H18" s="4"/>
      <c r="I18" s="4"/>
    </row>
    <row r="19" spans="2:10" x14ac:dyDescent="0.25">
      <c r="B19" s="5"/>
      <c r="G19" s="318" t="s">
        <v>3</v>
      </c>
      <c r="H19" s="318"/>
    </row>
    <row r="20" spans="2:10" x14ac:dyDescent="0.25">
      <c r="G20" s="5"/>
      <c r="H20" s="5"/>
      <c r="I20" s="5"/>
    </row>
    <row r="21" spans="2:10" x14ac:dyDescent="0.25">
      <c r="G21" s="6"/>
      <c r="H21" s="6"/>
      <c r="I21" s="6"/>
    </row>
    <row r="22" spans="2:10" x14ac:dyDescent="0.25">
      <c r="G22" s="6"/>
      <c r="H22" s="6"/>
      <c r="I22" s="6"/>
    </row>
    <row r="23" spans="2:10" ht="15.75" customHeight="1" x14ac:dyDescent="0.25">
      <c r="C23" s="13"/>
      <c r="D23" s="13"/>
      <c r="E23" s="13"/>
      <c r="F23" s="13"/>
      <c r="G23" s="13"/>
      <c r="H23" s="13"/>
      <c r="I23" s="13"/>
    </row>
    <row r="24" spans="2:10" ht="15.75" customHeight="1" x14ac:dyDescent="0.25">
      <c r="C24" s="13"/>
      <c r="D24" s="13"/>
      <c r="E24" s="13"/>
      <c r="F24" s="13"/>
      <c r="G24" s="13"/>
      <c r="H24" s="13"/>
      <c r="I24" s="13"/>
    </row>
    <row r="25" spans="2:10" ht="15.75" x14ac:dyDescent="0.25">
      <c r="B25" s="314" t="s">
        <v>6</v>
      </c>
      <c r="C25" s="314"/>
      <c r="D25" s="314"/>
      <c r="E25" s="314"/>
      <c r="F25" s="314"/>
      <c r="G25" s="314"/>
      <c r="H25" s="314"/>
      <c r="I25" s="314"/>
    </row>
    <row r="26" spans="2:10" ht="15.75" x14ac:dyDescent="0.25">
      <c r="B26" s="314" t="s">
        <v>7</v>
      </c>
      <c r="C26" s="314"/>
      <c r="D26" s="314"/>
      <c r="E26" s="314"/>
      <c r="F26" s="314"/>
      <c r="G26" s="314"/>
      <c r="H26" s="314"/>
      <c r="I26" s="314"/>
      <c r="J26" s="14"/>
    </row>
    <row r="30" spans="2:10" x14ac:dyDescent="0.25">
      <c r="I30" s="15" t="s">
        <v>8</v>
      </c>
    </row>
    <row r="31" spans="2:10" x14ac:dyDescent="0.25">
      <c r="B31" s="16" t="s">
        <v>9</v>
      </c>
      <c r="C31" s="5" t="s">
        <v>3</v>
      </c>
      <c r="D31" s="5"/>
      <c r="H31" s="315" t="s">
        <v>10</v>
      </c>
      <c r="I31" s="316"/>
    </row>
    <row r="32" spans="2:10" x14ac:dyDescent="0.25">
      <c r="H32" s="315"/>
      <c r="I32" s="317"/>
    </row>
    <row r="33" spans="2:9" x14ac:dyDescent="0.25">
      <c r="G33" s="313" t="s">
        <v>11</v>
      </c>
      <c r="H33" s="309"/>
      <c r="I33" s="310"/>
    </row>
    <row r="34" spans="2:9" x14ac:dyDescent="0.25">
      <c r="B34" s="2" t="s">
        <v>12</v>
      </c>
      <c r="C34" s="17"/>
      <c r="D34" s="17"/>
      <c r="E34" s="17"/>
      <c r="F34" s="17"/>
      <c r="G34" s="313"/>
      <c r="H34" s="309"/>
      <c r="I34" s="312"/>
    </row>
    <row r="35" spans="2:9" x14ac:dyDescent="0.25">
      <c r="B35" s="2" t="s">
        <v>13</v>
      </c>
      <c r="C35" s="18"/>
      <c r="D35" s="18"/>
      <c r="E35" s="18"/>
      <c r="F35" s="18"/>
      <c r="H35" s="309" t="s">
        <v>14</v>
      </c>
      <c r="I35" s="310"/>
    </row>
    <row r="36" spans="2:9" x14ac:dyDescent="0.25">
      <c r="C36" s="7"/>
      <c r="D36" s="7"/>
      <c r="E36" s="7"/>
      <c r="F36" s="7"/>
      <c r="H36" s="309"/>
      <c r="I36" s="312"/>
    </row>
    <row r="37" spans="2:9" x14ac:dyDescent="0.25">
      <c r="C37" s="7"/>
      <c r="D37" s="7"/>
      <c r="E37" s="7"/>
      <c r="F37" s="7"/>
      <c r="G37" s="313" t="s">
        <v>11</v>
      </c>
      <c r="H37" s="309"/>
      <c r="I37" s="310"/>
    </row>
    <row r="38" spans="2:9" x14ac:dyDescent="0.25">
      <c r="C38" s="7"/>
      <c r="D38" s="7"/>
      <c r="E38" s="7"/>
      <c r="F38" s="7"/>
      <c r="G38" s="313"/>
      <c r="H38" s="309"/>
      <c r="I38" s="312"/>
    </row>
    <row r="39" spans="2:9" x14ac:dyDescent="0.25">
      <c r="C39" s="7"/>
      <c r="D39" s="7"/>
      <c r="E39" s="7"/>
      <c r="F39" s="7"/>
      <c r="H39" s="309" t="s">
        <v>15</v>
      </c>
      <c r="I39" s="310"/>
    </row>
    <row r="40" spans="2:9" x14ac:dyDescent="0.25">
      <c r="C40" s="7"/>
      <c r="D40" s="7"/>
      <c r="E40" s="7"/>
      <c r="F40" s="7"/>
      <c r="H40" s="309"/>
      <c r="I40" s="312"/>
    </row>
    <row r="41" spans="2:9" x14ac:dyDescent="0.25">
      <c r="H41" s="309" t="s">
        <v>16</v>
      </c>
      <c r="I41" s="310"/>
    </row>
    <row r="42" spans="2:9" x14ac:dyDescent="0.25">
      <c r="B42" s="2" t="s">
        <v>17</v>
      </c>
      <c r="C42" s="19"/>
      <c r="D42" s="19"/>
      <c r="E42" s="19"/>
      <c r="F42" s="19"/>
      <c r="H42" s="309"/>
      <c r="I42" s="311"/>
    </row>
    <row r="43" spans="2:9" x14ac:dyDescent="0.25">
      <c r="B43" s="20"/>
      <c r="C43" s="19"/>
      <c r="D43" s="19"/>
      <c r="E43" s="19"/>
      <c r="F43" s="19"/>
      <c r="H43" s="309"/>
      <c r="I43" s="312"/>
    </row>
    <row r="44" spans="2:9" x14ac:dyDescent="0.25">
      <c r="B44" s="21"/>
      <c r="C44" s="7"/>
      <c r="D44" s="7"/>
      <c r="E44" s="7"/>
      <c r="F44" s="7"/>
      <c r="H44" s="309" t="s">
        <v>18</v>
      </c>
      <c r="I44" s="310">
        <v>383</v>
      </c>
    </row>
    <row r="45" spans="2:9" x14ac:dyDescent="0.25">
      <c r="B45" s="2" t="s">
        <v>19</v>
      </c>
      <c r="H45" s="309"/>
      <c r="I45" s="312"/>
    </row>
    <row r="46" spans="2:9" x14ac:dyDescent="0.25">
      <c r="H46" s="22"/>
      <c r="I46" s="22"/>
    </row>
    <row r="47" spans="2:9" x14ac:dyDescent="0.25">
      <c r="H47" s="22"/>
      <c r="I47" s="22"/>
    </row>
    <row r="48" spans="2:9" x14ac:dyDescent="0.25">
      <c r="H48" s="22"/>
      <c r="I48" s="22"/>
    </row>
    <row r="49" spans="1:9" x14ac:dyDescent="0.25">
      <c r="H49" s="22"/>
      <c r="I49" s="22"/>
    </row>
    <row r="50" spans="1:9" x14ac:dyDescent="0.25">
      <c r="H50" s="22"/>
      <c r="I50" s="22"/>
    </row>
    <row r="52" spans="1:9" x14ac:dyDescent="0.25">
      <c r="B52" s="307" t="s">
        <v>20</v>
      </c>
      <c r="C52" s="307"/>
      <c r="D52" s="307"/>
      <c r="E52" s="307"/>
      <c r="F52" s="307"/>
      <c r="G52" s="307"/>
      <c r="H52" s="307"/>
      <c r="I52" s="307"/>
    </row>
    <row r="53" spans="1:9" x14ac:dyDescent="0.25">
      <c r="C53" s="19"/>
      <c r="D53" s="19"/>
      <c r="E53" s="19"/>
      <c r="F53" s="19"/>
    </row>
    <row r="54" spans="1:9" x14ac:dyDescent="0.25">
      <c r="B54" s="306" t="s">
        <v>21</v>
      </c>
      <c r="C54" s="306" t="s">
        <v>22</v>
      </c>
      <c r="D54" s="306" t="s">
        <v>23</v>
      </c>
      <c r="E54" s="306" t="s">
        <v>24</v>
      </c>
      <c r="F54" s="308" t="s">
        <v>25</v>
      </c>
      <c r="G54" s="308"/>
      <c r="H54" s="308"/>
      <c r="I54" s="308"/>
    </row>
    <row r="55" spans="1:9" ht="69.75" customHeight="1" x14ac:dyDescent="0.25">
      <c r="B55" s="306"/>
      <c r="C55" s="306"/>
      <c r="D55" s="306"/>
      <c r="E55" s="306"/>
      <c r="F55" s="23" t="s">
        <v>26</v>
      </c>
      <c r="G55" s="23" t="s">
        <v>27</v>
      </c>
      <c r="H55" s="23" t="s">
        <v>28</v>
      </c>
      <c r="I55" s="23" t="s">
        <v>29</v>
      </c>
    </row>
    <row r="56" spans="1:9" x14ac:dyDescent="0.25">
      <c r="B56" s="23">
        <v>1</v>
      </c>
      <c r="C56" s="15">
        <v>2</v>
      </c>
      <c r="D56" s="15">
        <v>3</v>
      </c>
      <c r="E56" s="15">
        <v>4</v>
      </c>
      <c r="F56" s="15">
        <v>5</v>
      </c>
      <c r="G56" s="15">
        <v>6</v>
      </c>
      <c r="H56" s="15">
        <v>7</v>
      </c>
      <c r="I56" s="15">
        <v>8</v>
      </c>
    </row>
    <row r="57" spans="1:9" ht="30" x14ac:dyDescent="0.25">
      <c r="B57" s="24" t="s">
        <v>30</v>
      </c>
      <c r="C57" s="25" t="s">
        <v>31</v>
      </c>
      <c r="D57" s="15" t="s">
        <v>32</v>
      </c>
      <c r="E57" s="15" t="s">
        <v>32</v>
      </c>
      <c r="F57" s="26"/>
      <c r="G57" s="26"/>
      <c r="H57" s="26"/>
      <c r="I57" s="26"/>
    </row>
    <row r="58" spans="1:9" ht="30" x14ac:dyDescent="0.25">
      <c r="B58" s="24" t="s">
        <v>33</v>
      </c>
      <c r="C58" s="25" t="s">
        <v>34</v>
      </c>
      <c r="D58" s="15" t="s">
        <v>32</v>
      </c>
      <c r="E58" s="15" t="s">
        <v>32</v>
      </c>
      <c r="F58" s="27"/>
      <c r="G58" s="27"/>
      <c r="H58" s="27"/>
      <c r="I58" s="27"/>
    </row>
    <row r="59" spans="1:9" s="33" customFormat="1" ht="14.25" x14ac:dyDescent="0.2">
      <c r="A59" s="28"/>
      <c r="B59" s="29" t="s">
        <v>35</v>
      </c>
      <c r="C59" s="30" t="s">
        <v>36</v>
      </c>
      <c r="D59" s="31"/>
      <c r="E59" s="31"/>
      <c r="F59" s="32"/>
      <c r="G59" s="32"/>
      <c r="H59" s="32"/>
      <c r="I59" s="32"/>
    </row>
    <row r="60" spans="1:9" ht="30" x14ac:dyDescent="0.25">
      <c r="B60" s="24" t="s">
        <v>37</v>
      </c>
      <c r="C60" s="25" t="s">
        <v>38</v>
      </c>
      <c r="D60" s="15">
        <v>120</v>
      </c>
      <c r="E60" s="15"/>
      <c r="F60" s="27"/>
      <c r="G60" s="27"/>
      <c r="H60" s="27"/>
      <c r="I60" s="27"/>
    </row>
    <row r="61" spans="1:9" ht="30" x14ac:dyDescent="0.25">
      <c r="B61" s="24" t="s">
        <v>39</v>
      </c>
      <c r="C61" s="25" t="s">
        <v>40</v>
      </c>
      <c r="D61" s="15">
        <v>130</v>
      </c>
      <c r="E61" s="15"/>
      <c r="F61" s="27"/>
      <c r="G61" s="27"/>
      <c r="H61" s="27"/>
      <c r="I61" s="27"/>
    </row>
    <row r="62" spans="1:9" ht="74.25" customHeight="1" x14ac:dyDescent="0.25">
      <c r="B62" s="24" t="s">
        <v>41</v>
      </c>
      <c r="C62" s="25" t="s">
        <v>42</v>
      </c>
      <c r="D62" s="15">
        <v>130</v>
      </c>
      <c r="E62" s="15"/>
      <c r="F62" s="27"/>
      <c r="G62" s="27"/>
      <c r="H62" s="27"/>
      <c r="I62" s="27"/>
    </row>
    <row r="63" spans="1:9" x14ac:dyDescent="0.25">
      <c r="B63" s="24"/>
      <c r="C63" s="25"/>
      <c r="D63" s="15"/>
      <c r="E63" s="15"/>
      <c r="F63" s="27"/>
      <c r="G63" s="27"/>
      <c r="H63" s="27"/>
      <c r="I63" s="27"/>
    </row>
    <row r="64" spans="1:9" ht="32.25" customHeight="1" x14ac:dyDescent="0.25">
      <c r="B64" s="24" t="s">
        <v>43</v>
      </c>
      <c r="C64" s="25" t="s">
        <v>44</v>
      </c>
      <c r="D64" s="15">
        <v>140</v>
      </c>
      <c r="E64" s="15"/>
      <c r="F64" s="26"/>
      <c r="G64" s="26"/>
      <c r="H64" s="26"/>
      <c r="I64" s="26"/>
    </row>
    <row r="65" spans="1:9" x14ac:dyDescent="0.25">
      <c r="B65" s="24" t="s">
        <v>45</v>
      </c>
      <c r="C65" s="25" t="s">
        <v>46</v>
      </c>
      <c r="D65" s="15">
        <v>150</v>
      </c>
      <c r="E65" s="15"/>
      <c r="F65" s="26"/>
      <c r="G65" s="26"/>
      <c r="H65" s="26"/>
      <c r="I65" s="26"/>
    </row>
    <row r="66" spans="1:9" ht="30" x14ac:dyDescent="0.25">
      <c r="B66" s="24" t="s">
        <v>47</v>
      </c>
      <c r="C66" s="25"/>
      <c r="D66" s="15"/>
      <c r="E66" s="15"/>
      <c r="F66" s="26"/>
      <c r="G66" s="26"/>
      <c r="H66" s="26"/>
      <c r="I66" s="26"/>
    </row>
    <row r="67" spans="1:9" x14ac:dyDescent="0.25">
      <c r="B67" s="24" t="s">
        <v>48</v>
      </c>
      <c r="C67" s="25" t="s">
        <v>49</v>
      </c>
      <c r="D67" s="15">
        <v>180</v>
      </c>
      <c r="E67" s="15"/>
      <c r="F67" s="26"/>
      <c r="G67" s="26"/>
      <c r="H67" s="26"/>
      <c r="I67" s="26"/>
    </row>
    <row r="68" spans="1:9" ht="30" x14ac:dyDescent="0.25">
      <c r="B68" s="24" t="s">
        <v>50</v>
      </c>
      <c r="C68" s="25" t="s">
        <v>51</v>
      </c>
      <c r="D68" s="15">
        <v>180</v>
      </c>
      <c r="E68" s="15"/>
      <c r="F68" s="26"/>
      <c r="G68" s="26"/>
      <c r="H68" s="26"/>
      <c r="I68" s="26"/>
    </row>
    <row r="69" spans="1:9" ht="30" x14ac:dyDescent="0.25">
      <c r="B69" s="24" t="s">
        <v>52</v>
      </c>
      <c r="C69" s="25" t="s">
        <v>53</v>
      </c>
      <c r="D69" s="15">
        <v>180</v>
      </c>
      <c r="E69" s="15"/>
      <c r="F69" s="26"/>
      <c r="G69" s="26"/>
      <c r="H69" s="26"/>
      <c r="I69" s="26"/>
    </row>
    <row r="70" spans="1:9" x14ac:dyDescent="0.25">
      <c r="B70" s="24"/>
      <c r="C70" s="25"/>
      <c r="D70" s="15"/>
      <c r="E70" s="15"/>
      <c r="F70" s="26"/>
      <c r="G70" s="26"/>
      <c r="H70" s="26"/>
      <c r="I70" s="26"/>
    </row>
    <row r="71" spans="1:9" ht="15" customHeight="1" x14ac:dyDescent="0.25">
      <c r="B71" s="24" t="s">
        <v>54</v>
      </c>
      <c r="C71" s="25" t="s">
        <v>55</v>
      </c>
      <c r="D71" s="15"/>
      <c r="E71" s="15"/>
      <c r="F71" s="26"/>
      <c r="G71" s="26"/>
      <c r="H71" s="26"/>
      <c r="I71" s="26"/>
    </row>
    <row r="72" spans="1:9" ht="30" x14ac:dyDescent="0.25">
      <c r="B72" s="24" t="s">
        <v>47</v>
      </c>
      <c r="C72" s="25"/>
      <c r="D72" s="15"/>
      <c r="E72" s="15"/>
      <c r="F72" s="26"/>
      <c r="G72" s="26"/>
      <c r="H72" s="26"/>
      <c r="I72" s="26"/>
    </row>
    <row r="73" spans="1:9" x14ac:dyDescent="0.25">
      <c r="B73" s="24"/>
      <c r="C73" s="25"/>
      <c r="D73" s="15"/>
      <c r="E73" s="15"/>
      <c r="F73" s="26"/>
      <c r="G73" s="26"/>
      <c r="H73" s="26"/>
      <c r="I73" s="26"/>
    </row>
    <row r="74" spans="1:9" x14ac:dyDescent="0.25">
      <c r="B74" s="24" t="s">
        <v>56</v>
      </c>
      <c r="C74" s="25" t="s">
        <v>57</v>
      </c>
      <c r="D74" s="15" t="s">
        <v>32</v>
      </c>
      <c r="E74" s="15"/>
      <c r="F74" s="26"/>
      <c r="G74" s="26"/>
      <c r="H74" s="26"/>
      <c r="I74" s="26"/>
    </row>
    <row r="75" spans="1:9" ht="58.5" customHeight="1" x14ac:dyDescent="0.25">
      <c r="B75" s="24" t="s">
        <v>58</v>
      </c>
      <c r="C75" s="25" t="s">
        <v>59</v>
      </c>
      <c r="D75" s="15">
        <v>510</v>
      </c>
      <c r="E75" s="15"/>
      <c r="F75" s="26"/>
      <c r="G75" s="26"/>
      <c r="H75" s="26"/>
      <c r="I75" s="15" t="s">
        <v>32</v>
      </c>
    </row>
    <row r="76" spans="1:9" x14ac:dyDescent="0.25">
      <c r="B76" s="24"/>
      <c r="C76" s="25"/>
      <c r="D76" s="15"/>
      <c r="E76" s="15"/>
      <c r="F76" s="26"/>
      <c r="G76" s="26"/>
      <c r="H76" s="26"/>
      <c r="I76" s="15"/>
    </row>
    <row r="77" spans="1:9" s="33" customFormat="1" ht="14.25" x14ac:dyDescent="0.2">
      <c r="A77" s="28"/>
      <c r="B77" s="29" t="s">
        <v>60</v>
      </c>
      <c r="C77" s="30" t="s">
        <v>61</v>
      </c>
      <c r="D77" s="31" t="s">
        <v>32</v>
      </c>
      <c r="E77" s="31"/>
      <c r="F77" s="34"/>
      <c r="G77" s="34"/>
      <c r="H77" s="34"/>
      <c r="I77" s="34"/>
    </row>
    <row r="78" spans="1:9" ht="30" x14ac:dyDescent="0.25">
      <c r="B78" s="24" t="s">
        <v>62</v>
      </c>
      <c r="C78" s="25" t="s">
        <v>63</v>
      </c>
      <c r="D78" s="15" t="s">
        <v>32</v>
      </c>
      <c r="E78" s="15"/>
      <c r="F78" s="26"/>
      <c r="G78" s="26"/>
      <c r="H78" s="26"/>
      <c r="I78" s="26"/>
    </row>
    <row r="79" spans="1:9" ht="30" x14ac:dyDescent="0.25">
      <c r="B79" s="24" t="s">
        <v>64</v>
      </c>
      <c r="C79" s="25" t="s">
        <v>65</v>
      </c>
      <c r="D79" s="15">
        <v>111</v>
      </c>
      <c r="E79" s="15"/>
      <c r="F79" s="26"/>
      <c r="G79" s="26"/>
      <c r="H79" s="26"/>
      <c r="I79" s="15" t="s">
        <v>32</v>
      </c>
    </row>
    <row r="80" spans="1:9" ht="30" customHeight="1" x14ac:dyDescent="0.25">
      <c r="B80" s="35" t="s">
        <v>66</v>
      </c>
      <c r="C80" s="25"/>
      <c r="D80" s="15"/>
      <c r="E80" s="15"/>
      <c r="F80" s="26"/>
      <c r="G80" s="26"/>
      <c r="H80" s="26"/>
      <c r="I80" s="15"/>
    </row>
    <row r="81" spans="2:9" x14ac:dyDescent="0.25">
      <c r="B81" s="24"/>
      <c r="C81" s="25"/>
      <c r="D81" s="15"/>
      <c r="E81" s="15"/>
      <c r="F81" s="26"/>
      <c r="G81" s="26"/>
      <c r="H81" s="26"/>
      <c r="I81" s="15"/>
    </row>
    <row r="82" spans="2:9" x14ac:dyDescent="0.25">
      <c r="B82" s="24"/>
      <c r="C82" s="25"/>
      <c r="D82" s="15"/>
      <c r="E82" s="15"/>
      <c r="F82" s="26"/>
      <c r="G82" s="26"/>
      <c r="H82" s="26"/>
      <c r="I82" s="15"/>
    </row>
    <row r="83" spans="2:9" ht="30" x14ac:dyDescent="0.25">
      <c r="B83" s="24" t="s">
        <v>67</v>
      </c>
      <c r="C83" s="25" t="s">
        <v>68</v>
      </c>
      <c r="D83" s="15">
        <v>112</v>
      </c>
      <c r="E83" s="15"/>
      <c r="F83" s="26"/>
      <c r="G83" s="26"/>
      <c r="H83" s="26"/>
      <c r="I83" s="15" t="s">
        <v>32</v>
      </c>
    </row>
    <row r="84" spans="2:9" ht="30" customHeight="1" x14ac:dyDescent="0.25">
      <c r="B84" s="35" t="s">
        <v>66</v>
      </c>
      <c r="C84" s="25"/>
      <c r="D84" s="15"/>
      <c r="E84" s="15"/>
      <c r="F84" s="26"/>
      <c r="G84" s="26"/>
      <c r="H84" s="26"/>
      <c r="I84" s="15"/>
    </row>
    <row r="85" spans="2:9" x14ac:dyDescent="0.25">
      <c r="B85" s="24"/>
      <c r="C85" s="25"/>
      <c r="D85" s="15"/>
      <c r="E85" s="15"/>
      <c r="F85" s="26"/>
      <c r="G85" s="26"/>
      <c r="H85" s="26"/>
      <c r="I85" s="15"/>
    </row>
    <row r="86" spans="2:9" x14ac:dyDescent="0.25">
      <c r="B86" s="24"/>
      <c r="C86" s="25"/>
      <c r="D86" s="15"/>
      <c r="E86" s="15"/>
      <c r="F86" s="26"/>
      <c r="G86" s="26"/>
      <c r="H86" s="26"/>
      <c r="I86" s="15"/>
    </row>
    <row r="87" spans="2:9" ht="46.5" customHeight="1" x14ac:dyDescent="0.25">
      <c r="B87" s="24" t="s">
        <v>69</v>
      </c>
      <c r="C87" s="25" t="s">
        <v>70</v>
      </c>
      <c r="D87" s="15">
        <v>113</v>
      </c>
      <c r="E87" s="15"/>
      <c r="F87" s="26"/>
      <c r="G87" s="26"/>
      <c r="H87" s="26"/>
      <c r="I87" s="15" t="s">
        <v>32</v>
      </c>
    </row>
    <row r="88" spans="2:9" ht="30" customHeight="1" x14ac:dyDescent="0.25">
      <c r="B88" s="35" t="s">
        <v>66</v>
      </c>
      <c r="C88" s="25"/>
      <c r="D88" s="15"/>
      <c r="E88" s="15"/>
      <c r="F88" s="26"/>
      <c r="G88" s="26"/>
      <c r="H88" s="26"/>
      <c r="I88" s="15"/>
    </row>
    <row r="89" spans="2:9" x14ac:dyDescent="0.25">
      <c r="B89" s="24"/>
      <c r="C89" s="25"/>
      <c r="D89" s="15"/>
      <c r="E89" s="15"/>
      <c r="F89" s="26"/>
      <c r="G89" s="26"/>
      <c r="H89" s="26"/>
      <c r="I89" s="15"/>
    </row>
    <row r="90" spans="2:9" x14ac:dyDescent="0.25">
      <c r="B90" s="24"/>
      <c r="C90" s="25"/>
      <c r="D90" s="15"/>
      <c r="E90" s="15"/>
      <c r="F90" s="26"/>
      <c r="G90" s="26"/>
      <c r="H90" s="26"/>
      <c r="I90" s="15"/>
    </row>
    <row r="91" spans="2:9" ht="58.5" customHeight="1" x14ac:dyDescent="0.25">
      <c r="B91" s="24" t="s">
        <v>71</v>
      </c>
      <c r="C91" s="25" t="s">
        <v>72</v>
      </c>
      <c r="D91" s="15">
        <v>119</v>
      </c>
      <c r="E91" s="15"/>
      <c r="F91" s="26"/>
      <c r="G91" s="26"/>
      <c r="H91" s="26"/>
      <c r="I91" s="15" t="s">
        <v>32</v>
      </c>
    </row>
    <row r="92" spans="2:9" ht="30" x14ac:dyDescent="0.25">
      <c r="B92" s="24" t="s">
        <v>73</v>
      </c>
      <c r="C92" s="25" t="s">
        <v>74</v>
      </c>
      <c r="D92" s="15">
        <v>119</v>
      </c>
      <c r="E92" s="15"/>
      <c r="F92" s="26"/>
      <c r="G92" s="26"/>
      <c r="H92" s="26"/>
      <c r="I92" s="15" t="s">
        <v>32</v>
      </c>
    </row>
    <row r="93" spans="2:9" ht="45" x14ac:dyDescent="0.25">
      <c r="B93" s="24" t="s">
        <v>75</v>
      </c>
      <c r="C93" s="25"/>
      <c r="D93" s="15"/>
      <c r="E93" s="15"/>
      <c r="F93" s="26"/>
      <c r="G93" s="26"/>
      <c r="H93" s="26"/>
      <c r="I93" s="15"/>
    </row>
    <row r="94" spans="2:9" x14ac:dyDescent="0.25">
      <c r="B94" s="24"/>
      <c r="C94" s="25"/>
      <c r="D94" s="15"/>
      <c r="E94" s="15"/>
      <c r="F94" s="26"/>
      <c r="G94" s="26"/>
      <c r="H94" s="26"/>
      <c r="I94" s="15"/>
    </row>
    <row r="95" spans="2:9" x14ac:dyDescent="0.25">
      <c r="B95" s="24"/>
      <c r="C95" s="25"/>
      <c r="D95" s="15"/>
      <c r="E95" s="15"/>
      <c r="F95" s="26"/>
      <c r="G95" s="26"/>
      <c r="H95" s="26"/>
      <c r="I95" s="15"/>
    </row>
    <row r="96" spans="2:9" x14ac:dyDescent="0.25">
      <c r="B96" s="24" t="s">
        <v>76</v>
      </c>
      <c r="C96" s="25" t="s">
        <v>77</v>
      </c>
      <c r="D96" s="15">
        <v>119</v>
      </c>
      <c r="E96" s="15"/>
      <c r="F96" s="26"/>
      <c r="G96" s="26"/>
      <c r="H96" s="26"/>
      <c r="I96" s="15" t="s">
        <v>32</v>
      </c>
    </row>
    <row r="97" spans="2:9" ht="45" x14ac:dyDescent="0.25">
      <c r="B97" s="24" t="s">
        <v>75</v>
      </c>
      <c r="C97" s="25"/>
      <c r="D97" s="15"/>
      <c r="E97" s="15"/>
      <c r="F97" s="26"/>
      <c r="G97" s="26"/>
      <c r="H97" s="26"/>
      <c r="I97" s="15"/>
    </row>
    <row r="98" spans="2:9" x14ac:dyDescent="0.25">
      <c r="B98" s="24"/>
      <c r="C98" s="25"/>
      <c r="D98" s="15"/>
      <c r="E98" s="15"/>
      <c r="F98" s="26"/>
      <c r="G98" s="26"/>
      <c r="H98" s="26"/>
      <c r="I98" s="15"/>
    </row>
    <row r="99" spans="2:9" x14ac:dyDescent="0.25">
      <c r="B99" s="24"/>
      <c r="C99" s="25"/>
      <c r="D99" s="15"/>
      <c r="E99" s="15"/>
      <c r="F99" s="26"/>
      <c r="G99" s="26"/>
      <c r="H99" s="26"/>
      <c r="I99" s="15"/>
    </row>
    <row r="100" spans="2:9" x14ac:dyDescent="0.25">
      <c r="B100" s="24" t="s">
        <v>78</v>
      </c>
      <c r="C100" s="25" t="s">
        <v>79</v>
      </c>
      <c r="D100" s="15">
        <v>300</v>
      </c>
      <c r="E100" s="15"/>
      <c r="F100" s="26"/>
      <c r="G100" s="26"/>
      <c r="H100" s="26"/>
      <c r="I100" s="15" t="s">
        <v>32</v>
      </c>
    </row>
    <row r="101" spans="2:9" ht="45" x14ac:dyDescent="0.25">
      <c r="B101" s="24" t="s">
        <v>80</v>
      </c>
      <c r="C101" s="25" t="s">
        <v>81</v>
      </c>
      <c r="D101" s="15">
        <v>320</v>
      </c>
      <c r="E101" s="15"/>
      <c r="F101" s="26"/>
      <c r="G101" s="26"/>
      <c r="H101" s="26"/>
      <c r="I101" s="15" t="s">
        <v>32</v>
      </c>
    </row>
    <row r="102" spans="2:9" ht="60" x14ac:dyDescent="0.25">
      <c r="B102" s="24" t="s">
        <v>82</v>
      </c>
      <c r="C102" s="25" t="s">
        <v>83</v>
      </c>
      <c r="D102" s="15">
        <v>321</v>
      </c>
      <c r="E102" s="15"/>
      <c r="F102" s="26"/>
      <c r="G102" s="26"/>
      <c r="H102" s="26"/>
      <c r="I102" s="15" t="s">
        <v>32</v>
      </c>
    </row>
    <row r="103" spans="2:9" ht="45" x14ac:dyDescent="0.25">
      <c r="B103" s="24" t="s">
        <v>75</v>
      </c>
      <c r="C103" s="25"/>
      <c r="D103" s="15"/>
      <c r="E103" s="15"/>
      <c r="F103" s="26"/>
      <c r="G103" s="26"/>
      <c r="H103" s="26"/>
      <c r="I103" s="15"/>
    </row>
    <row r="104" spans="2:9" x14ac:dyDescent="0.25">
      <c r="B104" s="24"/>
      <c r="C104" s="25"/>
      <c r="D104" s="15"/>
      <c r="E104" s="15"/>
      <c r="F104" s="26"/>
      <c r="G104" s="26"/>
      <c r="H104" s="26"/>
      <c r="I104" s="15"/>
    </row>
    <row r="105" spans="2:9" x14ac:dyDescent="0.25">
      <c r="B105" s="24"/>
      <c r="C105" s="25"/>
      <c r="D105" s="15"/>
      <c r="E105" s="15"/>
      <c r="F105" s="26"/>
      <c r="G105" s="26"/>
      <c r="H105" s="26"/>
      <c r="I105" s="15"/>
    </row>
    <row r="106" spans="2:9" x14ac:dyDescent="0.25">
      <c r="B106" s="24" t="s">
        <v>84</v>
      </c>
      <c r="C106" s="25" t="s">
        <v>85</v>
      </c>
      <c r="D106" s="15">
        <v>340</v>
      </c>
      <c r="E106" s="15"/>
      <c r="F106" s="26"/>
      <c r="G106" s="26"/>
      <c r="H106" s="26"/>
      <c r="I106" s="15" t="s">
        <v>32</v>
      </c>
    </row>
    <row r="107" spans="2:9" ht="30" customHeight="1" x14ac:dyDescent="0.25">
      <c r="B107" s="35" t="s">
        <v>66</v>
      </c>
      <c r="C107" s="25"/>
      <c r="D107" s="15"/>
      <c r="E107" s="15"/>
      <c r="F107" s="26"/>
      <c r="G107" s="26"/>
      <c r="H107" s="26"/>
      <c r="I107" s="15"/>
    </row>
    <row r="108" spans="2:9" x14ac:dyDescent="0.25">
      <c r="B108" s="24"/>
      <c r="C108" s="25"/>
      <c r="D108" s="15"/>
      <c r="E108" s="15"/>
      <c r="F108" s="26"/>
      <c r="G108" s="26"/>
      <c r="H108" s="26"/>
      <c r="I108" s="15"/>
    </row>
    <row r="109" spans="2:9" x14ac:dyDescent="0.25">
      <c r="B109" s="24"/>
      <c r="C109" s="25"/>
      <c r="D109" s="15"/>
      <c r="E109" s="15"/>
      <c r="F109" s="26"/>
      <c r="G109" s="26"/>
      <c r="H109" s="26"/>
      <c r="I109" s="15"/>
    </row>
    <row r="110" spans="2:9" ht="89.25" customHeight="1" x14ac:dyDescent="0.25">
      <c r="B110" s="24" t="s">
        <v>86</v>
      </c>
      <c r="C110" s="25" t="s">
        <v>87</v>
      </c>
      <c r="D110" s="15">
        <v>350</v>
      </c>
      <c r="E110" s="15"/>
      <c r="F110" s="26"/>
      <c r="G110" s="26"/>
      <c r="H110" s="26"/>
      <c r="I110" s="15" t="s">
        <v>32</v>
      </c>
    </row>
    <row r="111" spans="2:9" ht="30" customHeight="1" x14ac:dyDescent="0.25">
      <c r="B111" s="35" t="s">
        <v>66</v>
      </c>
      <c r="C111" s="25"/>
      <c r="D111" s="15"/>
      <c r="E111" s="15"/>
      <c r="F111" s="26"/>
      <c r="G111" s="26"/>
      <c r="H111" s="26"/>
      <c r="I111" s="15"/>
    </row>
    <row r="112" spans="2:9" x14ac:dyDescent="0.25">
      <c r="B112" s="24"/>
      <c r="C112" s="25"/>
      <c r="D112" s="15"/>
      <c r="E112" s="15"/>
      <c r="F112" s="26"/>
      <c r="G112" s="26"/>
      <c r="H112" s="26"/>
      <c r="I112" s="15"/>
    </row>
    <row r="113" spans="2:9" x14ac:dyDescent="0.25">
      <c r="B113" s="24"/>
      <c r="C113" s="25"/>
      <c r="D113" s="15"/>
      <c r="E113" s="15"/>
      <c r="F113" s="26"/>
      <c r="G113" s="26"/>
      <c r="H113" s="26"/>
      <c r="I113" s="15"/>
    </row>
    <row r="114" spans="2:9" ht="30.75" customHeight="1" x14ac:dyDescent="0.25">
      <c r="B114" s="24" t="s">
        <v>88</v>
      </c>
      <c r="C114" s="25" t="s">
        <v>89</v>
      </c>
      <c r="D114" s="15">
        <v>360</v>
      </c>
      <c r="E114" s="15"/>
      <c r="F114" s="26"/>
      <c r="G114" s="26"/>
      <c r="H114" s="26"/>
      <c r="I114" s="15" t="s">
        <v>32</v>
      </c>
    </row>
    <row r="115" spans="2:9" ht="30" customHeight="1" x14ac:dyDescent="0.25">
      <c r="B115" s="35" t="s">
        <v>66</v>
      </c>
      <c r="C115" s="25"/>
      <c r="D115" s="15"/>
      <c r="E115" s="15"/>
      <c r="F115" s="26"/>
      <c r="G115" s="26"/>
      <c r="H115" s="26"/>
      <c r="I115" s="15"/>
    </row>
    <row r="116" spans="2:9" x14ac:dyDescent="0.25">
      <c r="B116" s="24"/>
      <c r="C116" s="25"/>
      <c r="D116" s="15"/>
      <c r="E116" s="15"/>
      <c r="F116" s="26"/>
      <c r="G116" s="26"/>
      <c r="H116" s="26"/>
      <c r="I116" s="15"/>
    </row>
    <row r="117" spans="2:9" x14ac:dyDescent="0.25">
      <c r="B117" s="24"/>
      <c r="C117" s="25"/>
      <c r="D117" s="15"/>
      <c r="E117" s="15"/>
      <c r="F117" s="26"/>
      <c r="G117" s="26"/>
      <c r="H117" s="26"/>
      <c r="I117" s="15"/>
    </row>
    <row r="118" spans="2:9" x14ac:dyDescent="0.25">
      <c r="B118" s="24" t="s">
        <v>90</v>
      </c>
      <c r="C118" s="25" t="s">
        <v>91</v>
      </c>
      <c r="D118" s="15">
        <v>850</v>
      </c>
      <c r="E118" s="15"/>
      <c r="F118" s="26"/>
      <c r="G118" s="26"/>
      <c r="H118" s="26"/>
      <c r="I118" s="15" t="s">
        <v>32</v>
      </c>
    </row>
    <row r="119" spans="2:9" ht="45" x14ac:dyDescent="0.25">
      <c r="B119" s="24" t="s">
        <v>92</v>
      </c>
      <c r="C119" s="25" t="s">
        <v>93</v>
      </c>
      <c r="D119" s="15">
        <v>851</v>
      </c>
      <c r="E119" s="15"/>
      <c r="F119" s="26"/>
      <c r="G119" s="26"/>
      <c r="H119" s="26"/>
      <c r="I119" s="15" t="s">
        <v>32</v>
      </c>
    </row>
    <row r="120" spans="2:9" ht="30" customHeight="1" x14ac:dyDescent="0.25">
      <c r="B120" s="24" t="s">
        <v>66</v>
      </c>
      <c r="C120" s="25"/>
      <c r="D120" s="15"/>
      <c r="E120" s="15"/>
      <c r="F120" s="26"/>
      <c r="G120" s="26"/>
      <c r="H120" s="26"/>
      <c r="I120" s="15"/>
    </row>
    <row r="121" spans="2:9" x14ac:dyDescent="0.25">
      <c r="B121" s="24"/>
      <c r="C121" s="25"/>
      <c r="D121" s="15"/>
      <c r="E121" s="15"/>
      <c r="F121" s="26"/>
      <c r="G121" s="26"/>
      <c r="H121" s="26"/>
      <c r="I121" s="15"/>
    </row>
    <row r="122" spans="2:9" x14ac:dyDescent="0.25">
      <c r="B122" s="24"/>
      <c r="C122" s="25"/>
      <c r="D122" s="15"/>
      <c r="E122" s="15"/>
      <c r="F122" s="26"/>
      <c r="G122" s="26"/>
      <c r="H122" s="26"/>
      <c r="I122" s="15"/>
    </row>
    <row r="123" spans="2:9" ht="45.75" customHeight="1" x14ac:dyDescent="0.25">
      <c r="B123" s="24" t="s">
        <v>94</v>
      </c>
      <c r="C123" s="25" t="s">
        <v>95</v>
      </c>
      <c r="D123" s="15">
        <v>852</v>
      </c>
      <c r="E123" s="15"/>
      <c r="F123" s="26"/>
      <c r="G123" s="26"/>
      <c r="H123" s="26"/>
      <c r="I123" s="15" t="s">
        <v>32</v>
      </c>
    </row>
    <row r="124" spans="2:9" ht="30" customHeight="1" x14ac:dyDescent="0.25">
      <c r="B124" s="24" t="s">
        <v>66</v>
      </c>
      <c r="C124" s="25"/>
      <c r="D124" s="15"/>
      <c r="E124" s="15"/>
      <c r="F124" s="26"/>
      <c r="G124" s="26"/>
      <c r="H124" s="26"/>
      <c r="I124" s="15"/>
    </row>
    <row r="125" spans="2:9" x14ac:dyDescent="0.25">
      <c r="B125" s="24"/>
      <c r="C125" s="25"/>
      <c r="D125" s="15"/>
      <c r="E125" s="15"/>
      <c r="F125" s="26"/>
      <c r="G125" s="26"/>
      <c r="H125" s="26"/>
      <c r="I125" s="15"/>
    </row>
    <row r="126" spans="2:9" x14ac:dyDescent="0.25">
      <c r="B126" s="24"/>
      <c r="C126" s="25"/>
      <c r="D126" s="15"/>
      <c r="E126" s="15"/>
      <c r="F126" s="26"/>
      <c r="G126" s="26"/>
      <c r="H126" s="26"/>
      <c r="I126" s="15"/>
    </row>
    <row r="127" spans="2:9" ht="30" x14ac:dyDescent="0.25">
      <c r="B127" s="24" t="s">
        <v>96</v>
      </c>
      <c r="C127" s="25" t="s">
        <v>97</v>
      </c>
      <c r="D127" s="15">
        <v>853</v>
      </c>
      <c r="E127" s="15"/>
      <c r="F127" s="26"/>
      <c r="G127" s="26"/>
      <c r="H127" s="26"/>
      <c r="I127" s="15" t="s">
        <v>32</v>
      </c>
    </row>
    <row r="128" spans="2:9" ht="30" customHeight="1" x14ac:dyDescent="0.25">
      <c r="B128" s="24" t="s">
        <v>66</v>
      </c>
      <c r="C128" s="25"/>
      <c r="D128" s="15"/>
      <c r="E128" s="15"/>
      <c r="F128" s="26"/>
      <c r="G128" s="26"/>
      <c r="H128" s="26"/>
      <c r="I128" s="15"/>
    </row>
    <row r="129" spans="2:9" x14ac:dyDescent="0.25">
      <c r="B129" s="24"/>
      <c r="C129" s="25"/>
      <c r="D129" s="15"/>
      <c r="E129" s="15"/>
      <c r="F129" s="26"/>
      <c r="G129" s="26"/>
      <c r="H129" s="26"/>
      <c r="I129" s="15"/>
    </row>
    <row r="130" spans="2:9" x14ac:dyDescent="0.25">
      <c r="B130" s="24"/>
      <c r="C130" s="25"/>
      <c r="D130" s="15"/>
      <c r="E130" s="15"/>
      <c r="F130" s="26"/>
      <c r="G130" s="26"/>
      <c r="H130" s="26"/>
      <c r="I130" s="15"/>
    </row>
    <row r="131" spans="2:9" ht="30" x14ac:dyDescent="0.25">
      <c r="B131" s="24" t="s">
        <v>98</v>
      </c>
      <c r="C131" s="25" t="s">
        <v>99</v>
      </c>
      <c r="D131" s="15" t="s">
        <v>32</v>
      </c>
      <c r="E131" s="15"/>
      <c r="F131" s="26"/>
      <c r="G131" s="26"/>
      <c r="H131" s="26"/>
      <c r="I131" s="15" t="s">
        <v>32</v>
      </c>
    </row>
    <row r="132" spans="2:9" ht="48" customHeight="1" x14ac:dyDescent="0.25">
      <c r="B132" s="24" t="s">
        <v>100</v>
      </c>
      <c r="C132" s="25" t="s">
        <v>101</v>
      </c>
      <c r="D132" s="15">
        <v>810</v>
      </c>
      <c r="E132" s="15"/>
      <c r="F132" s="26"/>
      <c r="G132" s="26"/>
      <c r="H132" s="26"/>
      <c r="I132" s="15" t="s">
        <v>32</v>
      </c>
    </row>
    <row r="133" spans="2:9" ht="30" customHeight="1" x14ac:dyDescent="0.25">
      <c r="B133" s="24" t="s">
        <v>66</v>
      </c>
      <c r="C133" s="25"/>
      <c r="D133" s="15"/>
      <c r="E133" s="15"/>
      <c r="F133" s="26"/>
      <c r="G133" s="26"/>
      <c r="H133" s="26"/>
      <c r="I133" s="15"/>
    </row>
    <row r="134" spans="2:9" x14ac:dyDescent="0.25">
      <c r="B134" s="24"/>
      <c r="C134" s="25"/>
      <c r="D134" s="15"/>
      <c r="E134" s="15"/>
      <c r="F134" s="26"/>
      <c r="G134" s="26"/>
      <c r="H134" s="26"/>
      <c r="I134" s="15"/>
    </row>
    <row r="135" spans="2:9" x14ac:dyDescent="0.25">
      <c r="B135" s="24"/>
      <c r="C135" s="25"/>
      <c r="D135" s="15"/>
      <c r="E135" s="15"/>
      <c r="F135" s="26"/>
      <c r="G135" s="26"/>
      <c r="H135" s="26"/>
      <c r="I135" s="15"/>
    </row>
    <row r="136" spans="2:9" x14ac:dyDescent="0.25">
      <c r="B136" s="24" t="s">
        <v>102</v>
      </c>
      <c r="C136" s="25" t="s">
        <v>103</v>
      </c>
      <c r="D136" s="15">
        <v>862</v>
      </c>
      <c r="E136" s="15"/>
      <c r="F136" s="26"/>
      <c r="G136" s="26"/>
      <c r="H136" s="26"/>
      <c r="I136" s="15" t="s">
        <v>32</v>
      </c>
    </row>
    <row r="137" spans="2:9" ht="30" customHeight="1" x14ac:dyDescent="0.25">
      <c r="B137" s="24" t="s">
        <v>66</v>
      </c>
      <c r="C137" s="25"/>
      <c r="D137" s="15"/>
      <c r="E137" s="15"/>
      <c r="F137" s="26"/>
      <c r="G137" s="26"/>
      <c r="H137" s="26"/>
      <c r="I137" s="15"/>
    </row>
    <row r="138" spans="2:9" x14ac:dyDescent="0.25">
      <c r="B138" s="24"/>
      <c r="C138" s="25"/>
      <c r="D138" s="15"/>
      <c r="E138" s="15"/>
      <c r="F138" s="26"/>
      <c r="G138" s="26"/>
      <c r="H138" s="26"/>
      <c r="I138" s="15"/>
    </row>
    <row r="139" spans="2:9" x14ac:dyDescent="0.25">
      <c r="B139" s="24"/>
      <c r="C139" s="25"/>
      <c r="D139" s="15"/>
      <c r="E139" s="15"/>
      <c r="F139" s="26"/>
      <c r="G139" s="26"/>
      <c r="H139" s="26"/>
      <c r="I139" s="15"/>
    </row>
    <row r="140" spans="2:9" ht="47.25" customHeight="1" x14ac:dyDescent="0.25">
      <c r="B140" s="24" t="s">
        <v>104</v>
      </c>
      <c r="C140" s="25" t="s">
        <v>105</v>
      </c>
      <c r="D140" s="15">
        <v>863</v>
      </c>
      <c r="E140" s="15"/>
      <c r="F140" s="26"/>
      <c r="G140" s="26"/>
      <c r="H140" s="26"/>
      <c r="I140" s="15" t="s">
        <v>32</v>
      </c>
    </row>
    <row r="141" spans="2:9" ht="30" customHeight="1" x14ac:dyDescent="0.25">
      <c r="B141" s="24" t="s">
        <v>66</v>
      </c>
      <c r="C141" s="25"/>
      <c r="D141" s="15"/>
      <c r="E141" s="15"/>
      <c r="F141" s="26"/>
      <c r="G141" s="26"/>
      <c r="H141" s="26"/>
      <c r="I141" s="15"/>
    </row>
    <row r="142" spans="2:9" x14ac:dyDescent="0.25">
      <c r="B142" s="24"/>
      <c r="C142" s="25"/>
      <c r="D142" s="15"/>
      <c r="E142" s="15"/>
      <c r="F142" s="26"/>
      <c r="G142" s="26"/>
      <c r="H142" s="26"/>
      <c r="I142" s="15"/>
    </row>
    <row r="143" spans="2:9" x14ac:dyDescent="0.25">
      <c r="B143" s="24"/>
      <c r="C143" s="25"/>
      <c r="D143" s="15"/>
      <c r="E143" s="15"/>
      <c r="F143" s="26"/>
      <c r="G143" s="26"/>
      <c r="H143" s="26"/>
      <c r="I143" s="15"/>
    </row>
    <row r="144" spans="2:9" ht="30" x14ac:dyDescent="0.25">
      <c r="B144" s="24" t="s">
        <v>106</v>
      </c>
      <c r="C144" s="25" t="s">
        <v>107</v>
      </c>
      <c r="D144" s="15" t="s">
        <v>32</v>
      </c>
      <c r="E144" s="15"/>
      <c r="F144" s="26"/>
      <c r="G144" s="26"/>
      <c r="H144" s="26"/>
      <c r="I144" s="15" t="s">
        <v>32</v>
      </c>
    </row>
    <row r="145" spans="2:9" ht="60" customHeight="1" x14ac:dyDescent="0.25">
      <c r="B145" s="24" t="s">
        <v>108</v>
      </c>
      <c r="C145" s="25" t="s">
        <v>109</v>
      </c>
      <c r="D145" s="15">
        <v>831</v>
      </c>
      <c r="E145" s="15"/>
      <c r="F145" s="26"/>
      <c r="G145" s="26"/>
      <c r="H145" s="26"/>
      <c r="I145" s="15" t="s">
        <v>32</v>
      </c>
    </row>
    <row r="146" spans="2:9" ht="30" customHeight="1" x14ac:dyDescent="0.25">
      <c r="B146" s="24" t="s">
        <v>110</v>
      </c>
      <c r="C146" s="25"/>
      <c r="D146" s="15"/>
      <c r="E146" s="15"/>
      <c r="F146" s="26"/>
      <c r="G146" s="26"/>
      <c r="H146" s="26"/>
      <c r="I146" s="15"/>
    </row>
    <row r="147" spans="2:9" x14ac:dyDescent="0.25">
      <c r="B147" s="24"/>
      <c r="C147" s="25"/>
      <c r="D147" s="15"/>
      <c r="E147" s="15"/>
      <c r="F147" s="26"/>
      <c r="G147" s="26"/>
      <c r="H147" s="26"/>
      <c r="I147" s="15"/>
    </row>
    <row r="148" spans="2:9" x14ac:dyDescent="0.25">
      <c r="B148" s="24"/>
      <c r="C148" s="25"/>
      <c r="D148" s="15"/>
      <c r="E148" s="15"/>
      <c r="F148" s="26"/>
      <c r="G148" s="26"/>
      <c r="H148" s="26"/>
      <c r="I148" s="15"/>
    </row>
    <row r="149" spans="2:9" ht="15" customHeight="1" x14ac:dyDescent="0.25">
      <c r="B149" s="24" t="s">
        <v>111</v>
      </c>
      <c r="C149" s="25" t="s">
        <v>112</v>
      </c>
      <c r="D149" s="15" t="s">
        <v>32</v>
      </c>
      <c r="E149" s="15"/>
      <c r="F149" s="26"/>
      <c r="G149" s="26"/>
      <c r="H149" s="26"/>
      <c r="I149" s="26"/>
    </row>
    <row r="150" spans="2:9" ht="45" x14ac:dyDescent="0.25">
      <c r="B150" s="24" t="s">
        <v>113</v>
      </c>
      <c r="C150" s="25" t="s">
        <v>114</v>
      </c>
      <c r="D150" s="15">
        <v>241</v>
      </c>
      <c r="E150" s="15"/>
      <c r="F150" s="26"/>
      <c r="G150" s="26"/>
      <c r="H150" s="26"/>
      <c r="I150" s="26"/>
    </row>
    <row r="151" spans="2:9" ht="30" customHeight="1" x14ac:dyDescent="0.25">
      <c r="B151" s="24" t="s">
        <v>66</v>
      </c>
      <c r="C151" s="25"/>
      <c r="D151" s="15"/>
      <c r="E151" s="15"/>
      <c r="F151" s="26"/>
      <c r="G151" s="26"/>
      <c r="H151" s="26"/>
      <c r="I151" s="15"/>
    </row>
    <row r="152" spans="2:9" x14ac:dyDescent="0.25">
      <c r="B152" s="24"/>
      <c r="C152" s="25"/>
      <c r="D152" s="15"/>
      <c r="E152" s="15"/>
      <c r="F152" s="26"/>
      <c r="G152" s="26"/>
      <c r="H152" s="26"/>
      <c r="I152" s="15"/>
    </row>
    <row r="153" spans="2:9" x14ac:dyDescent="0.25">
      <c r="B153" s="24"/>
      <c r="C153" s="25"/>
      <c r="D153" s="15"/>
      <c r="E153" s="15"/>
      <c r="F153" s="26"/>
      <c r="G153" s="26"/>
      <c r="H153" s="26"/>
      <c r="I153" s="15"/>
    </row>
    <row r="154" spans="2:9" ht="45" x14ac:dyDescent="0.25">
      <c r="B154" s="24" t="s">
        <v>115</v>
      </c>
      <c r="C154" s="25" t="s">
        <v>116</v>
      </c>
      <c r="D154" s="15">
        <v>243</v>
      </c>
      <c r="E154" s="15"/>
      <c r="F154" s="26"/>
      <c r="G154" s="26"/>
      <c r="H154" s="26"/>
      <c r="I154" s="26"/>
    </row>
    <row r="155" spans="2:9" ht="30" customHeight="1" x14ac:dyDescent="0.25">
      <c r="B155" s="24" t="s">
        <v>66</v>
      </c>
      <c r="C155" s="25"/>
      <c r="D155" s="15"/>
      <c r="E155" s="15"/>
      <c r="F155" s="26"/>
      <c r="G155" s="26"/>
      <c r="H155" s="26"/>
      <c r="I155" s="15"/>
    </row>
    <row r="156" spans="2:9" x14ac:dyDescent="0.25">
      <c r="B156" s="24"/>
      <c r="C156" s="25"/>
      <c r="D156" s="15"/>
      <c r="E156" s="15"/>
      <c r="F156" s="26"/>
      <c r="G156" s="26"/>
      <c r="H156" s="26"/>
      <c r="I156" s="15"/>
    </row>
    <row r="157" spans="2:9" x14ac:dyDescent="0.25">
      <c r="B157" s="24"/>
      <c r="C157" s="25"/>
      <c r="D157" s="15"/>
      <c r="E157" s="15"/>
      <c r="F157" s="26"/>
      <c r="G157" s="26"/>
      <c r="H157" s="26"/>
      <c r="I157" s="15"/>
    </row>
    <row r="158" spans="2:9" x14ac:dyDescent="0.25">
      <c r="B158" s="24" t="s">
        <v>117</v>
      </c>
      <c r="C158" s="25" t="s">
        <v>118</v>
      </c>
      <c r="D158" s="15">
        <v>244</v>
      </c>
      <c r="E158" s="15"/>
      <c r="F158" s="26"/>
      <c r="G158" s="26"/>
      <c r="H158" s="26"/>
      <c r="I158" s="26"/>
    </row>
    <row r="159" spans="2:9" ht="30" customHeight="1" x14ac:dyDescent="0.25">
      <c r="B159" s="24" t="s">
        <v>66</v>
      </c>
      <c r="C159" s="25"/>
      <c r="D159" s="15"/>
      <c r="E159" s="15"/>
      <c r="F159" s="26"/>
      <c r="G159" s="26"/>
      <c r="H159" s="26"/>
      <c r="I159" s="15"/>
    </row>
    <row r="160" spans="2:9" ht="30" x14ac:dyDescent="0.25">
      <c r="B160" s="36" t="s">
        <v>119</v>
      </c>
      <c r="C160" s="25"/>
      <c r="D160" s="15"/>
      <c r="E160" s="15"/>
      <c r="F160" s="26"/>
      <c r="G160" s="26"/>
      <c r="H160" s="26"/>
      <c r="I160" s="26"/>
    </row>
    <row r="161" spans="1:9" x14ac:dyDescent="0.25">
      <c r="B161" s="24"/>
      <c r="C161" s="25"/>
      <c r="D161" s="15"/>
      <c r="E161" s="15"/>
      <c r="F161" s="26"/>
      <c r="G161" s="26"/>
      <c r="H161" s="26"/>
      <c r="I161" s="15"/>
    </row>
    <row r="162" spans="1:9" ht="30" x14ac:dyDescent="0.25">
      <c r="B162" s="36" t="s">
        <v>119</v>
      </c>
      <c r="C162" s="25"/>
      <c r="D162" s="15"/>
      <c r="E162" s="15"/>
      <c r="F162" s="26"/>
      <c r="G162" s="26"/>
      <c r="H162" s="26"/>
      <c r="I162" s="26"/>
    </row>
    <row r="163" spans="1:9" ht="30" x14ac:dyDescent="0.25">
      <c r="B163" s="24" t="s">
        <v>120</v>
      </c>
      <c r="C163" s="25" t="s">
        <v>121</v>
      </c>
      <c r="D163" s="15">
        <v>400</v>
      </c>
      <c r="E163" s="15"/>
      <c r="F163" s="26"/>
      <c r="G163" s="26"/>
      <c r="H163" s="26"/>
      <c r="I163" s="26"/>
    </row>
    <row r="164" spans="1:9" ht="45" x14ac:dyDescent="0.25">
      <c r="B164" s="24" t="s">
        <v>122</v>
      </c>
      <c r="C164" s="25" t="s">
        <v>123</v>
      </c>
      <c r="D164" s="15">
        <v>406</v>
      </c>
      <c r="E164" s="15"/>
      <c r="F164" s="26"/>
      <c r="G164" s="26"/>
      <c r="H164" s="26"/>
      <c r="I164" s="26"/>
    </row>
    <row r="165" spans="1:9" ht="30" customHeight="1" x14ac:dyDescent="0.25">
      <c r="B165" s="24" t="s">
        <v>66</v>
      </c>
      <c r="C165" s="25"/>
      <c r="D165" s="15"/>
      <c r="E165" s="15"/>
      <c r="F165" s="26"/>
      <c r="G165" s="26"/>
      <c r="H165" s="26"/>
      <c r="I165" s="15"/>
    </row>
    <row r="166" spans="1:9" x14ac:dyDescent="0.25">
      <c r="B166" s="24"/>
      <c r="C166" s="25"/>
      <c r="D166" s="15"/>
      <c r="E166" s="15"/>
      <c r="F166" s="26"/>
      <c r="G166" s="26"/>
      <c r="H166" s="26"/>
      <c r="I166" s="15"/>
    </row>
    <row r="167" spans="1:9" x14ac:dyDescent="0.25">
      <c r="B167" s="24"/>
      <c r="C167" s="25"/>
      <c r="D167" s="15"/>
      <c r="E167" s="15"/>
      <c r="F167" s="26"/>
      <c r="G167" s="26"/>
      <c r="H167" s="26"/>
      <c r="I167" s="15"/>
    </row>
    <row r="168" spans="1:9" ht="45" x14ac:dyDescent="0.25">
      <c r="B168" s="24" t="s">
        <v>124</v>
      </c>
      <c r="C168" s="25" t="s">
        <v>125</v>
      </c>
      <c r="D168" s="15">
        <v>407</v>
      </c>
      <c r="E168" s="15"/>
      <c r="F168" s="26"/>
      <c r="G168" s="26"/>
      <c r="H168" s="26"/>
      <c r="I168" s="26"/>
    </row>
    <row r="169" spans="1:9" ht="30" customHeight="1" x14ac:dyDescent="0.25">
      <c r="B169" s="24" t="s">
        <v>66</v>
      </c>
      <c r="C169" s="25"/>
      <c r="D169" s="15"/>
      <c r="E169" s="15"/>
      <c r="F169" s="26"/>
      <c r="G169" s="26"/>
      <c r="H169" s="26"/>
      <c r="I169" s="15"/>
    </row>
    <row r="170" spans="1:9" x14ac:dyDescent="0.25">
      <c r="B170" s="24"/>
      <c r="C170" s="25"/>
      <c r="D170" s="15"/>
      <c r="E170" s="15"/>
      <c r="F170" s="26"/>
      <c r="G170" s="26"/>
      <c r="H170" s="26"/>
      <c r="I170" s="15"/>
    </row>
    <row r="171" spans="1:9" x14ac:dyDescent="0.25">
      <c r="B171" s="24"/>
      <c r="C171" s="25"/>
      <c r="D171" s="15"/>
      <c r="E171" s="15"/>
      <c r="F171" s="26"/>
      <c r="G171" s="26"/>
      <c r="H171" s="26"/>
      <c r="I171" s="15"/>
    </row>
    <row r="172" spans="1:9" s="33" customFormat="1" ht="14.25" x14ac:dyDescent="0.2">
      <c r="A172" s="28"/>
      <c r="B172" s="29" t="s">
        <v>126</v>
      </c>
      <c r="C172" s="30" t="s">
        <v>127</v>
      </c>
      <c r="D172" s="31">
        <v>100</v>
      </c>
      <c r="E172" s="31"/>
      <c r="F172" s="34"/>
      <c r="G172" s="34"/>
      <c r="H172" s="34"/>
      <c r="I172" s="31" t="s">
        <v>32</v>
      </c>
    </row>
    <row r="173" spans="1:9" ht="30" x14ac:dyDescent="0.25">
      <c r="B173" s="24" t="s">
        <v>128</v>
      </c>
      <c r="C173" s="25" t="s">
        <v>129</v>
      </c>
      <c r="D173" s="15"/>
      <c r="E173" s="15"/>
      <c r="F173" s="26"/>
      <c r="G173" s="26"/>
      <c r="H173" s="26"/>
      <c r="I173" s="15" t="s">
        <v>32</v>
      </c>
    </row>
    <row r="174" spans="1:9" x14ac:dyDescent="0.25">
      <c r="B174" s="24" t="s">
        <v>130</v>
      </c>
      <c r="C174" s="25" t="s">
        <v>131</v>
      </c>
      <c r="D174" s="15"/>
      <c r="E174" s="15"/>
      <c r="F174" s="26"/>
      <c r="G174" s="26"/>
      <c r="H174" s="26"/>
      <c r="I174" s="15" t="s">
        <v>32</v>
      </c>
    </row>
    <row r="175" spans="1:9" x14ac:dyDescent="0.25">
      <c r="B175" s="24" t="s">
        <v>132</v>
      </c>
      <c r="C175" s="25" t="s">
        <v>133</v>
      </c>
      <c r="D175" s="15"/>
      <c r="E175" s="15"/>
      <c r="F175" s="26"/>
      <c r="G175" s="26"/>
      <c r="H175" s="26"/>
      <c r="I175" s="15" t="s">
        <v>32</v>
      </c>
    </row>
    <row r="176" spans="1:9" s="33" customFormat="1" ht="14.25" x14ac:dyDescent="0.2">
      <c r="A176" s="28"/>
      <c r="B176" s="29" t="s">
        <v>134</v>
      </c>
      <c r="C176" s="30" t="s">
        <v>135</v>
      </c>
      <c r="D176" s="31" t="s">
        <v>32</v>
      </c>
      <c r="E176" s="31"/>
      <c r="F176" s="34"/>
      <c r="G176" s="34"/>
      <c r="H176" s="34"/>
      <c r="I176" s="31" t="s">
        <v>32</v>
      </c>
    </row>
    <row r="177" spans="1:9" ht="30" x14ac:dyDescent="0.25">
      <c r="B177" s="24" t="s">
        <v>136</v>
      </c>
      <c r="C177" s="25" t="s">
        <v>137</v>
      </c>
      <c r="D177" s="15">
        <v>610</v>
      </c>
      <c r="E177" s="15"/>
      <c r="F177" s="26"/>
      <c r="G177" s="26"/>
      <c r="H177" s="26"/>
      <c r="I177" s="15" t="s">
        <v>32</v>
      </c>
    </row>
    <row r="178" spans="1:9" x14ac:dyDescent="0.25">
      <c r="B178" s="24"/>
      <c r="C178" s="26"/>
      <c r="D178" s="26"/>
      <c r="E178" s="26"/>
      <c r="F178" s="26"/>
      <c r="G178" s="26"/>
      <c r="H178" s="26"/>
      <c r="I178" s="26"/>
    </row>
    <row r="181" spans="1:9" x14ac:dyDescent="0.25">
      <c r="B181" s="307" t="s">
        <v>138</v>
      </c>
      <c r="C181" s="307"/>
      <c r="D181" s="307"/>
      <c r="E181" s="307"/>
      <c r="F181" s="307"/>
      <c r="G181" s="307"/>
      <c r="H181" s="307"/>
      <c r="I181" s="307"/>
    </row>
    <row r="183" spans="1:9" x14ac:dyDescent="0.25">
      <c r="A183" s="306" t="s">
        <v>139</v>
      </c>
      <c r="B183" s="306" t="s">
        <v>21</v>
      </c>
      <c r="C183" s="306"/>
      <c r="D183" s="306" t="s">
        <v>140</v>
      </c>
      <c r="E183" s="306" t="s">
        <v>141</v>
      </c>
      <c r="F183" s="308" t="s">
        <v>25</v>
      </c>
      <c r="G183" s="308"/>
      <c r="H183" s="308"/>
      <c r="I183" s="308"/>
    </row>
    <row r="184" spans="1:9" ht="60" x14ac:dyDescent="0.25">
      <c r="A184" s="306"/>
      <c r="B184" s="306"/>
      <c r="C184" s="306"/>
      <c r="D184" s="306"/>
      <c r="E184" s="306"/>
      <c r="F184" s="23" t="s">
        <v>142</v>
      </c>
      <c r="G184" s="23" t="s">
        <v>143</v>
      </c>
      <c r="H184" s="23" t="s">
        <v>144</v>
      </c>
      <c r="I184" s="23" t="s">
        <v>29</v>
      </c>
    </row>
    <row r="185" spans="1:9" x14ac:dyDescent="0.25">
      <c r="A185" s="15">
        <v>1</v>
      </c>
      <c r="B185" s="306">
        <v>2</v>
      </c>
      <c r="C185" s="306"/>
      <c r="D185" s="15">
        <v>3</v>
      </c>
      <c r="E185" s="15">
        <v>4</v>
      </c>
      <c r="F185" s="15">
        <v>5</v>
      </c>
      <c r="G185" s="15">
        <v>6</v>
      </c>
      <c r="H185" s="15">
        <v>7</v>
      </c>
      <c r="I185" s="15">
        <v>8</v>
      </c>
    </row>
    <row r="186" spans="1:9" x14ac:dyDescent="0.25">
      <c r="A186" s="15" t="s">
        <v>145</v>
      </c>
      <c r="B186" s="305" t="s">
        <v>146</v>
      </c>
      <c r="C186" s="305"/>
      <c r="D186" s="15">
        <v>26000</v>
      </c>
      <c r="E186" s="15" t="s">
        <v>32</v>
      </c>
      <c r="F186" s="26"/>
      <c r="G186" s="26"/>
      <c r="H186" s="26"/>
      <c r="I186" s="26"/>
    </row>
    <row r="187" spans="1:9" ht="150" customHeight="1" x14ac:dyDescent="0.25">
      <c r="A187" s="15" t="s">
        <v>147</v>
      </c>
      <c r="B187" s="305" t="s">
        <v>148</v>
      </c>
      <c r="C187" s="305"/>
      <c r="D187" s="15">
        <v>26100</v>
      </c>
      <c r="E187" s="15" t="s">
        <v>32</v>
      </c>
      <c r="F187" s="26"/>
      <c r="G187" s="26"/>
      <c r="H187" s="26"/>
      <c r="I187" s="26"/>
    </row>
    <row r="188" spans="1:9" ht="61.5" customHeight="1" x14ac:dyDescent="0.25">
      <c r="A188" s="15" t="s">
        <v>149</v>
      </c>
      <c r="B188" s="305" t="s">
        <v>150</v>
      </c>
      <c r="C188" s="305"/>
      <c r="D188" s="15">
        <v>26200</v>
      </c>
      <c r="E188" s="15" t="s">
        <v>32</v>
      </c>
      <c r="F188" s="26"/>
      <c r="G188" s="26"/>
      <c r="H188" s="26"/>
      <c r="I188" s="26"/>
    </row>
    <row r="189" spans="1:9" ht="60" customHeight="1" x14ac:dyDescent="0.25">
      <c r="A189" s="15" t="s">
        <v>151</v>
      </c>
      <c r="B189" s="305" t="s">
        <v>152</v>
      </c>
      <c r="C189" s="305"/>
      <c r="D189" s="15">
        <v>26300</v>
      </c>
      <c r="E189" s="15" t="s">
        <v>32</v>
      </c>
      <c r="F189" s="26"/>
      <c r="G189" s="26"/>
      <c r="H189" s="26"/>
      <c r="I189" s="26"/>
    </row>
    <row r="190" spans="1:9" ht="29.25" customHeight="1" x14ac:dyDescent="0.25">
      <c r="A190" s="15"/>
      <c r="B190" s="305" t="s">
        <v>153</v>
      </c>
      <c r="C190" s="305"/>
      <c r="D190" s="15"/>
      <c r="E190" s="15"/>
      <c r="F190" s="26"/>
      <c r="G190" s="26"/>
      <c r="H190" s="26"/>
      <c r="I190" s="26"/>
    </row>
    <row r="191" spans="1:9" ht="16.5" customHeight="1" x14ac:dyDescent="0.25">
      <c r="A191" s="15"/>
      <c r="B191" s="305" t="s">
        <v>154</v>
      </c>
      <c r="C191" s="305"/>
      <c r="D191" s="15"/>
      <c r="E191" s="15"/>
      <c r="F191" s="26"/>
      <c r="G191" s="26"/>
      <c r="H191" s="26"/>
      <c r="I191" s="26"/>
    </row>
    <row r="192" spans="1:9" ht="59.25" customHeight="1" x14ac:dyDescent="0.25">
      <c r="A192" s="15" t="s">
        <v>155</v>
      </c>
      <c r="B192" s="305" t="s">
        <v>156</v>
      </c>
      <c r="C192" s="305"/>
      <c r="D192" s="15">
        <v>26400</v>
      </c>
      <c r="E192" s="15" t="s">
        <v>32</v>
      </c>
      <c r="F192" s="26"/>
      <c r="G192" s="26"/>
      <c r="H192" s="26"/>
      <c r="I192" s="26"/>
    </row>
    <row r="193" spans="1:9" ht="45.75" customHeight="1" x14ac:dyDescent="0.25">
      <c r="A193" s="15" t="s">
        <v>157</v>
      </c>
      <c r="B193" s="305" t="s">
        <v>158</v>
      </c>
      <c r="C193" s="305"/>
      <c r="D193" s="15">
        <v>26410</v>
      </c>
      <c r="E193" s="15" t="s">
        <v>32</v>
      </c>
      <c r="F193" s="26"/>
      <c r="G193" s="26"/>
      <c r="H193" s="26"/>
      <c r="I193" s="26"/>
    </row>
    <row r="194" spans="1:9" ht="29.25" customHeight="1" x14ac:dyDescent="0.25">
      <c r="A194" s="15" t="s">
        <v>159</v>
      </c>
      <c r="B194" s="305" t="s">
        <v>153</v>
      </c>
      <c r="C194" s="305"/>
      <c r="D194" s="15">
        <v>26411</v>
      </c>
      <c r="E194" s="15" t="s">
        <v>32</v>
      </c>
      <c r="F194" s="26"/>
      <c r="G194" s="26"/>
      <c r="H194" s="26"/>
      <c r="I194" s="26"/>
    </row>
    <row r="195" spans="1:9" ht="16.5" customHeight="1" x14ac:dyDescent="0.25">
      <c r="A195" s="15" t="s">
        <v>160</v>
      </c>
      <c r="B195" s="305" t="s">
        <v>154</v>
      </c>
      <c r="C195" s="305"/>
      <c r="D195" s="15">
        <v>26412</v>
      </c>
      <c r="E195" s="15" t="s">
        <v>32</v>
      </c>
      <c r="F195" s="26"/>
      <c r="G195" s="26"/>
      <c r="H195" s="26"/>
      <c r="I195" s="26"/>
    </row>
    <row r="196" spans="1:9" ht="46.5" customHeight="1" x14ac:dyDescent="0.25">
      <c r="A196" s="15" t="s">
        <v>161</v>
      </c>
      <c r="B196" s="305" t="s">
        <v>162</v>
      </c>
      <c r="C196" s="305"/>
      <c r="D196" s="15">
        <v>26420</v>
      </c>
      <c r="E196" s="15" t="s">
        <v>32</v>
      </c>
      <c r="F196" s="26"/>
      <c r="G196" s="26"/>
      <c r="H196" s="26"/>
      <c r="I196" s="26"/>
    </row>
    <row r="197" spans="1:9" ht="30.75" customHeight="1" x14ac:dyDescent="0.25">
      <c r="A197" s="15" t="s">
        <v>163</v>
      </c>
      <c r="B197" s="305" t="s">
        <v>153</v>
      </c>
      <c r="C197" s="305"/>
      <c r="D197" s="15">
        <v>26421</v>
      </c>
      <c r="E197" s="15" t="s">
        <v>32</v>
      </c>
      <c r="F197" s="26"/>
      <c r="G197" s="26"/>
      <c r="H197" s="26"/>
      <c r="I197" s="26"/>
    </row>
    <row r="198" spans="1:9" x14ac:dyDescent="0.25">
      <c r="A198" s="15" t="s">
        <v>164</v>
      </c>
      <c r="B198" s="305" t="s">
        <v>154</v>
      </c>
      <c r="C198" s="305"/>
      <c r="D198" s="15">
        <v>26422</v>
      </c>
      <c r="E198" s="15" t="s">
        <v>32</v>
      </c>
      <c r="F198" s="26"/>
      <c r="G198" s="26"/>
      <c r="H198" s="26"/>
      <c r="I198" s="26"/>
    </row>
    <row r="199" spans="1:9" ht="30" customHeight="1" x14ac:dyDescent="0.25">
      <c r="A199" s="15" t="s">
        <v>165</v>
      </c>
      <c r="B199" s="305" t="s">
        <v>166</v>
      </c>
      <c r="C199" s="305"/>
      <c r="D199" s="15">
        <v>26430</v>
      </c>
      <c r="E199" s="15" t="s">
        <v>32</v>
      </c>
      <c r="F199" s="26"/>
      <c r="G199" s="26"/>
      <c r="H199" s="26"/>
      <c r="I199" s="26"/>
    </row>
    <row r="200" spans="1:9" x14ac:dyDescent="0.25">
      <c r="A200" s="15" t="s">
        <v>167</v>
      </c>
      <c r="B200" s="305" t="s">
        <v>168</v>
      </c>
      <c r="C200" s="305"/>
      <c r="D200" s="15">
        <v>26450</v>
      </c>
      <c r="E200" s="15" t="s">
        <v>32</v>
      </c>
      <c r="F200" s="26"/>
      <c r="G200" s="26"/>
      <c r="H200" s="26"/>
      <c r="I200" s="26"/>
    </row>
    <row r="201" spans="1:9" ht="30.75" customHeight="1" x14ac:dyDescent="0.25">
      <c r="A201" s="15" t="s">
        <v>169</v>
      </c>
      <c r="B201" s="305" t="s">
        <v>153</v>
      </c>
      <c r="C201" s="305"/>
      <c r="D201" s="15">
        <v>26451</v>
      </c>
      <c r="E201" s="15" t="s">
        <v>32</v>
      </c>
      <c r="F201" s="26"/>
      <c r="G201" s="26"/>
      <c r="H201" s="26"/>
      <c r="I201" s="26"/>
    </row>
    <row r="202" spans="1:9" x14ac:dyDescent="0.25">
      <c r="A202" s="15" t="s">
        <v>170</v>
      </c>
      <c r="B202" s="305" t="s">
        <v>154</v>
      </c>
      <c r="C202" s="305"/>
      <c r="D202" s="15">
        <v>26452</v>
      </c>
      <c r="E202" s="15" t="s">
        <v>32</v>
      </c>
      <c r="F202" s="26"/>
      <c r="G202" s="26"/>
      <c r="H202" s="26"/>
      <c r="I202" s="26"/>
    </row>
    <row r="203" spans="1:9" ht="61.5" customHeight="1" x14ac:dyDescent="0.25">
      <c r="A203" s="15" t="s">
        <v>171</v>
      </c>
      <c r="B203" s="305" t="s">
        <v>172</v>
      </c>
      <c r="C203" s="305"/>
      <c r="D203" s="15">
        <v>26500</v>
      </c>
      <c r="E203" s="15" t="s">
        <v>32</v>
      </c>
      <c r="F203" s="26"/>
      <c r="G203" s="26"/>
      <c r="H203" s="26"/>
      <c r="I203" s="26"/>
    </row>
    <row r="204" spans="1:9" ht="30" customHeight="1" x14ac:dyDescent="0.25">
      <c r="A204" s="26"/>
      <c r="B204" s="305" t="s">
        <v>173</v>
      </c>
      <c r="C204" s="305"/>
      <c r="D204" s="15">
        <v>26510</v>
      </c>
      <c r="E204" s="15"/>
      <c r="F204" s="26"/>
      <c r="G204" s="26"/>
      <c r="H204" s="26"/>
      <c r="I204" s="26"/>
    </row>
    <row r="205" spans="1:9" ht="60.75" customHeight="1" x14ac:dyDescent="0.25">
      <c r="A205" s="15" t="s">
        <v>174</v>
      </c>
      <c r="B205" s="305" t="s">
        <v>175</v>
      </c>
      <c r="C205" s="305"/>
      <c r="D205" s="15">
        <v>26600</v>
      </c>
      <c r="E205" s="15" t="s">
        <v>32</v>
      </c>
      <c r="F205" s="26"/>
      <c r="G205" s="26"/>
      <c r="H205" s="26"/>
      <c r="I205" s="26"/>
    </row>
    <row r="206" spans="1:9" ht="30" customHeight="1" x14ac:dyDescent="0.25">
      <c r="A206" s="26"/>
      <c r="B206" s="305" t="s">
        <v>173</v>
      </c>
      <c r="C206" s="305"/>
      <c r="D206" s="15">
        <v>26610</v>
      </c>
      <c r="E206" s="15"/>
      <c r="F206" s="26"/>
      <c r="G206" s="26"/>
      <c r="H206" s="26"/>
      <c r="I206" s="26"/>
    </row>
    <row r="209" spans="2:7" x14ac:dyDescent="0.25">
      <c r="B209" s="5" t="s">
        <v>176</v>
      </c>
      <c r="C209" s="302" t="s">
        <v>177</v>
      </c>
      <c r="D209" s="302"/>
      <c r="E209" s="37"/>
      <c r="F209" s="304" t="s">
        <v>177</v>
      </c>
      <c r="G209" s="304"/>
    </row>
    <row r="210" spans="2:7" x14ac:dyDescent="0.25">
      <c r="B210" s="5"/>
      <c r="C210" s="301" t="s">
        <v>178</v>
      </c>
      <c r="D210" s="301"/>
      <c r="E210" s="6" t="s">
        <v>179</v>
      </c>
      <c r="F210" s="301" t="s">
        <v>180</v>
      </c>
      <c r="G210" s="301"/>
    </row>
    <row r="212" spans="2:7" x14ac:dyDescent="0.25">
      <c r="B212" s="5" t="s">
        <v>181</v>
      </c>
      <c r="C212" s="302" t="s">
        <v>177</v>
      </c>
      <c r="D212" s="302"/>
      <c r="E212" s="303"/>
      <c r="F212" s="303"/>
      <c r="G212" s="38" t="s">
        <v>177</v>
      </c>
    </row>
    <row r="213" spans="2:7" x14ac:dyDescent="0.25">
      <c r="B213" s="5"/>
      <c r="C213" s="301" t="s">
        <v>182</v>
      </c>
      <c r="D213" s="301"/>
      <c r="E213" s="301" t="s">
        <v>183</v>
      </c>
      <c r="F213" s="301"/>
      <c r="G213" s="6" t="s">
        <v>184</v>
      </c>
    </row>
    <row r="215" spans="2:7" x14ac:dyDescent="0.25">
      <c r="B215" s="2" t="s">
        <v>185</v>
      </c>
    </row>
  </sheetData>
  <mergeCells count="70">
    <mergeCell ref="G19:H19"/>
    <mergeCell ref="G3:I3"/>
    <mergeCell ref="G4:I4"/>
    <mergeCell ref="G5:I5"/>
    <mergeCell ref="G7:I7"/>
    <mergeCell ref="G8:I8"/>
    <mergeCell ref="G10:H10"/>
    <mergeCell ref="G12:I12"/>
    <mergeCell ref="G13:I13"/>
    <mergeCell ref="G14:I14"/>
    <mergeCell ref="G16:I16"/>
    <mergeCell ref="G17:I17"/>
    <mergeCell ref="B25:I25"/>
    <mergeCell ref="B26:I26"/>
    <mergeCell ref="H31:H32"/>
    <mergeCell ref="I31:I32"/>
    <mergeCell ref="G33:H34"/>
    <mergeCell ref="I33:I34"/>
    <mergeCell ref="H35:H36"/>
    <mergeCell ref="I35:I36"/>
    <mergeCell ref="G37:H38"/>
    <mergeCell ref="I37:I38"/>
    <mergeCell ref="H39:H40"/>
    <mergeCell ref="I39:I40"/>
    <mergeCell ref="B54:B55"/>
    <mergeCell ref="C54:C55"/>
    <mergeCell ref="D54:D55"/>
    <mergeCell ref="E54:E55"/>
    <mergeCell ref="F54:I54"/>
    <mergeCell ref="H41:H43"/>
    <mergeCell ref="I41:I43"/>
    <mergeCell ref="H44:H45"/>
    <mergeCell ref="I44:I45"/>
    <mergeCell ref="B52:I52"/>
    <mergeCell ref="B181:I181"/>
    <mergeCell ref="A183:A184"/>
    <mergeCell ref="B183:C184"/>
    <mergeCell ref="D183:D184"/>
    <mergeCell ref="E183:E184"/>
    <mergeCell ref="F183:I183"/>
    <mergeCell ref="B196:C196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F209:G209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C209:D209"/>
    <mergeCell ref="C210:D210"/>
    <mergeCell ref="F210:G210"/>
    <mergeCell ref="C212:D212"/>
    <mergeCell ref="E212:F212"/>
    <mergeCell ref="C213:D213"/>
    <mergeCell ref="E213:F213"/>
  </mergeCells>
  <pageMargins left="0" right="0" top="0" bottom="0" header="0" footer="0"/>
  <pageSetup paperSize="9" scale="74" fitToHeight="0" orientation="portrait" r:id="rId1"/>
  <rowBreaks count="3" manualBreakCount="3">
    <brk id="51" max="8" man="1"/>
    <brk id="139" max="8" man="1"/>
    <brk id="1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26"/>
  <sheetViews>
    <sheetView tabSelected="1" view="pageBreakPreview" zoomScale="85" zoomScaleNormal="90" zoomScaleSheetLayoutView="85" workbookViewId="0">
      <pane xSplit="5" ySplit="1" topLeftCell="F172" activePane="bottomRight" state="frozen"/>
      <selection activeCell="B169" sqref="B169:I169"/>
      <selection pane="topRight" activeCell="B169" sqref="B169:I169"/>
      <selection pane="bottomLeft" activeCell="B169" sqref="B169:I169"/>
      <selection pane="bottomRight" activeCell="D22" sqref="D22"/>
    </sheetView>
  </sheetViews>
  <sheetFormatPr defaultColWidth="9.140625" defaultRowHeight="15" x14ac:dyDescent="0.25"/>
  <cols>
    <col min="1" max="1" width="6.7109375" style="1" customWidth="1"/>
    <col min="2" max="2" width="55.140625" style="2" customWidth="1"/>
    <col min="3" max="3" width="11" style="1" customWidth="1"/>
    <col min="4" max="4" width="13.5703125" style="1" customWidth="1"/>
    <col min="5" max="5" width="14" style="1" customWidth="1"/>
    <col min="6" max="8" width="13.5703125" style="240" customWidth="1"/>
    <col min="9" max="9" width="15.5703125" style="240" customWidth="1"/>
    <col min="10" max="10" width="13.140625" style="1" customWidth="1"/>
    <col min="11" max="11" width="7.140625" style="227" bestFit="1" customWidth="1"/>
    <col min="12" max="12" width="18.42578125" style="227" customWidth="1"/>
    <col min="13" max="13" width="102.42578125" style="2" customWidth="1"/>
    <col min="14" max="46" width="9.140625" style="1"/>
    <col min="47" max="47" width="12.7109375" style="1" customWidth="1"/>
    <col min="48" max="16384" width="9.140625" style="1"/>
  </cols>
  <sheetData>
    <row r="1" spans="1:13" x14ac:dyDescent="0.25">
      <c r="K1" s="204" t="s">
        <v>186</v>
      </c>
      <c r="L1" s="204" t="s">
        <v>187</v>
      </c>
      <c r="M1" s="2" t="s">
        <v>188</v>
      </c>
    </row>
    <row r="4" spans="1:13" x14ac:dyDescent="0.25">
      <c r="G4" s="340" t="s">
        <v>0</v>
      </c>
      <c r="H4" s="340"/>
      <c r="I4" s="340"/>
    </row>
    <row r="5" spans="1:13" ht="30" customHeight="1" x14ac:dyDescent="0.25">
      <c r="G5" s="341" t="s">
        <v>189</v>
      </c>
      <c r="H5" s="341"/>
      <c r="I5" s="341"/>
      <c r="L5" s="57" t="s">
        <v>189</v>
      </c>
    </row>
    <row r="6" spans="1:13" ht="55.5" customHeight="1" x14ac:dyDescent="0.25">
      <c r="G6" s="342" t="s">
        <v>1</v>
      </c>
      <c r="H6" s="342"/>
      <c r="I6" s="342"/>
    </row>
    <row r="7" spans="1:13" x14ac:dyDescent="0.25">
      <c r="G7" s="258"/>
      <c r="H7" s="258"/>
      <c r="I7" s="258"/>
    </row>
    <row r="8" spans="1:13" x14ac:dyDescent="0.25">
      <c r="G8" s="343" t="s">
        <v>732</v>
      </c>
      <c r="H8" s="343"/>
      <c r="I8" s="343"/>
    </row>
    <row r="9" spans="1:13" x14ac:dyDescent="0.25">
      <c r="G9" s="344" t="s">
        <v>2</v>
      </c>
      <c r="H9" s="344"/>
      <c r="I9" s="344"/>
    </row>
    <row r="10" spans="1:13" x14ac:dyDescent="0.25">
      <c r="G10" s="259"/>
      <c r="H10" s="259"/>
      <c r="I10" s="259"/>
    </row>
    <row r="11" spans="1:13" x14ac:dyDescent="0.25">
      <c r="G11" s="340" t="str">
        <f>G20</f>
        <v>«_____» ____________ 2023 г.</v>
      </c>
      <c r="H11" s="340"/>
      <c r="I11" s="260"/>
    </row>
    <row r="12" spans="1:13" x14ac:dyDescent="0.25">
      <c r="G12" s="257"/>
      <c r="H12" s="257"/>
      <c r="I12" s="260"/>
    </row>
    <row r="13" spans="1:13" x14ac:dyDescent="0.25">
      <c r="B13" s="5"/>
      <c r="C13" s="5"/>
      <c r="G13" s="340" t="s">
        <v>4</v>
      </c>
      <c r="H13" s="340"/>
      <c r="I13" s="340"/>
    </row>
    <row r="14" spans="1:13" x14ac:dyDescent="0.25">
      <c r="A14" s="7"/>
      <c r="B14" s="5"/>
      <c r="C14" s="8"/>
      <c r="G14" s="345" t="s">
        <v>687</v>
      </c>
      <c r="H14" s="345"/>
      <c r="I14" s="345"/>
    </row>
    <row r="15" spans="1:13" ht="32.25" customHeight="1" x14ac:dyDescent="0.25">
      <c r="A15" s="7"/>
      <c r="B15" s="5"/>
      <c r="C15" s="9"/>
      <c r="G15" s="346" t="s">
        <v>5</v>
      </c>
      <c r="H15" s="346"/>
      <c r="I15" s="346"/>
      <c r="J15" s="228"/>
      <c r="K15" s="16"/>
      <c r="L15" s="16"/>
    </row>
    <row r="16" spans="1:13" x14ac:dyDescent="0.25">
      <c r="A16" s="7"/>
      <c r="B16" s="5"/>
      <c r="C16" s="9"/>
      <c r="G16" s="258"/>
      <c r="H16" s="258"/>
      <c r="I16" s="258"/>
      <c r="J16" s="228"/>
      <c r="K16" s="16"/>
      <c r="L16" s="16"/>
    </row>
    <row r="17" spans="1:13" x14ac:dyDescent="0.25">
      <c r="A17" s="7"/>
      <c r="B17" s="5"/>
      <c r="G17" s="343" t="s">
        <v>688</v>
      </c>
      <c r="H17" s="343"/>
      <c r="I17" s="343"/>
    </row>
    <row r="18" spans="1:13" x14ac:dyDescent="0.25">
      <c r="B18" s="5"/>
      <c r="C18" s="12"/>
      <c r="G18" s="347" t="s">
        <v>2</v>
      </c>
      <c r="H18" s="347"/>
      <c r="I18" s="347"/>
    </row>
    <row r="19" spans="1:13" ht="30" x14ac:dyDescent="0.25">
      <c r="B19" s="5"/>
      <c r="C19" s="12"/>
      <c r="G19" s="259"/>
      <c r="H19" s="259"/>
      <c r="I19" s="259"/>
      <c r="M19" s="2" t="s">
        <v>191</v>
      </c>
    </row>
    <row r="20" spans="1:13" x14ac:dyDescent="0.25">
      <c r="B20" s="5"/>
      <c r="G20" s="340" t="s">
        <v>748</v>
      </c>
      <c r="H20" s="340"/>
      <c r="M20" s="2" t="s">
        <v>192</v>
      </c>
    </row>
    <row r="21" spans="1:13" x14ac:dyDescent="0.25">
      <c r="G21" s="260"/>
      <c r="H21" s="260"/>
      <c r="I21" s="260"/>
    </row>
    <row r="22" spans="1:13" x14ac:dyDescent="0.25">
      <c r="G22" s="257"/>
      <c r="H22" s="257"/>
      <c r="I22" s="257"/>
    </row>
    <row r="23" spans="1:13" x14ac:dyDescent="0.25">
      <c r="G23" s="257"/>
      <c r="H23" s="257"/>
      <c r="I23" s="257"/>
    </row>
    <row r="24" spans="1:13" ht="15.75" customHeight="1" x14ac:dyDescent="0.25">
      <c r="C24" s="13"/>
      <c r="D24" s="13"/>
      <c r="E24" s="13"/>
      <c r="F24" s="261"/>
      <c r="G24" s="261"/>
      <c r="H24" s="261"/>
      <c r="I24" s="261"/>
    </row>
    <row r="25" spans="1:13" ht="15.75" customHeight="1" x14ac:dyDescent="0.25">
      <c r="C25" s="13"/>
      <c r="D25" s="13"/>
      <c r="E25" s="13"/>
      <c r="F25" s="261"/>
      <c r="G25" s="261"/>
      <c r="H25" s="261"/>
      <c r="I25" s="261"/>
    </row>
    <row r="26" spans="1:13" ht="15.75" customHeight="1" x14ac:dyDescent="0.25">
      <c r="B26" s="314" t="s">
        <v>445</v>
      </c>
      <c r="C26" s="314"/>
      <c r="D26" s="314"/>
      <c r="E26" s="314"/>
      <c r="F26" s="314"/>
      <c r="G26" s="314"/>
      <c r="H26" s="314"/>
      <c r="I26" s="314"/>
    </row>
    <row r="27" spans="1:13" ht="15.75" customHeight="1" x14ac:dyDescent="0.25">
      <c r="B27" s="314" t="s">
        <v>692</v>
      </c>
      <c r="C27" s="314"/>
      <c r="D27" s="314"/>
      <c r="E27" s="314"/>
      <c r="F27" s="314"/>
      <c r="G27" s="314"/>
      <c r="H27" s="314"/>
      <c r="I27" s="314"/>
      <c r="J27" s="229"/>
    </row>
    <row r="31" spans="1:13" x14ac:dyDescent="0.25">
      <c r="I31" s="237" t="s">
        <v>8</v>
      </c>
    </row>
    <row r="32" spans="1:13" x14ac:dyDescent="0.25">
      <c r="B32" s="16" t="s">
        <v>9</v>
      </c>
      <c r="C32" s="5" t="s">
        <v>751</v>
      </c>
      <c r="D32" s="5"/>
      <c r="H32" s="333" t="s">
        <v>10</v>
      </c>
      <c r="I32" s="334">
        <v>45257</v>
      </c>
      <c r="J32" s="227" t="s">
        <v>9</v>
      </c>
      <c r="K32" s="57" t="s">
        <v>3</v>
      </c>
      <c r="M32" s="2" t="s">
        <v>194</v>
      </c>
    </row>
    <row r="33" spans="2:11" x14ac:dyDescent="0.25">
      <c r="H33" s="333"/>
      <c r="I33" s="335"/>
    </row>
    <row r="34" spans="2:11" x14ac:dyDescent="0.25">
      <c r="G34" s="336" t="s">
        <v>11</v>
      </c>
      <c r="H34" s="330"/>
      <c r="I34" s="331">
        <v>32305650</v>
      </c>
    </row>
    <row r="35" spans="2:11" x14ac:dyDescent="0.25">
      <c r="B35" s="2" t="s">
        <v>12</v>
      </c>
      <c r="C35" s="337" t="s">
        <v>195</v>
      </c>
      <c r="D35" s="337"/>
      <c r="E35" s="337"/>
      <c r="F35" s="337"/>
      <c r="G35" s="336"/>
      <c r="H35" s="330"/>
      <c r="I35" s="332"/>
      <c r="J35" s="230"/>
      <c r="K35" s="57" t="s">
        <v>196</v>
      </c>
    </row>
    <row r="36" spans="2:11" x14ac:dyDescent="0.25">
      <c r="B36" s="2" t="s">
        <v>13</v>
      </c>
      <c r="C36" s="338" t="s">
        <v>197</v>
      </c>
      <c r="D36" s="338"/>
      <c r="E36" s="338"/>
      <c r="F36" s="338"/>
      <c r="H36" s="330" t="s">
        <v>14</v>
      </c>
      <c r="I36" s="331">
        <v>911</v>
      </c>
    </row>
    <row r="37" spans="2:11" x14ac:dyDescent="0.25">
      <c r="C37" s="7"/>
      <c r="D37" s="7"/>
      <c r="E37" s="7"/>
      <c r="F37" s="262"/>
      <c r="H37" s="330"/>
      <c r="I37" s="332"/>
    </row>
    <row r="38" spans="2:11" x14ac:dyDescent="0.25">
      <c r="C38" s="7"/>
      <c r="D38" s="7"/>
      <c r="E38" s="7"/>
      <c r="F38" s="262"/>
      <c r="G38" s="336" t="s">
        <v>11</v>
      </c>
      <c r="H38" s="330"/>
      <c r="I38" s="331" t="s">
        <v>616</v>
      </c>
    </row>
    <row r="39" spans="2:11" x14ac:dyDescent="0.25">
      <c r="C39" s="7"/>
      <c r="D39" s="7"/>
      <c r="E39" s="7"/>
      <c r="F39" s="262"/>
      <c r="G39" s="336"/>
      <c r="H39" s="330"/>
      <c r="I39" s="332"/>
      <c r="J39" s="230"/>
      <c r="K39" s="57" t="s">
        <v>198</v>
      </c>
    </row>
    <row r="40" spans="2:11" x14ac:dyDescent="0.25">
      <c r="C40" s="7"/>
      <c r="D40" s="7"/>
      <c r="E40" s="7"/>
      <c r="F40" s="262"/>
      <c r="H40" s="330" t="s">
        <v>15</v>
      </c>
      <c r="I40" s="331">
        <v>4205016986</v>
      </c>
    </row>
    <row r="41" spans="2:11" x14ac:dyDescent="0.25">
      <c r="C41" s="7"/>
      <c r="D41" s="7"/>
      <c r="E41" s="7"/>
      <c r="F41" s="262"/>
      <c r="H41" s="330"/>
      <c r="I41" s="332"/>
    </row>
    <row r="42" spans="2:11" x14ac:dyDescent="0.25">
      <c r="H42" s="330" t="s">
        <v>16</v>
      </c>
      <c r="I42" s="331">
        <v>420501001</v>
      </c>
    </row>
    <row r="43" spans="2:11" x14ac:dyDescent="0.25">
      <c r="B43" s="2" t="s">
        <v>17</v>
      </c>
      <c r="C43" s="145" t="s">
        <v>617</v>
      </c>
      <c r="D43" s="19"/>
      <c r="E43" s="19"/>
      <c r="F43" s="145"/>
      <c r="H43" s="330"/>
      <c r="I43" s="339"/>
    </row>
    <row r="44" spans="2:11" x14ac:dyDescent="0.25">
      <c r="B44" s="146" t="s">
        <v>618</v>
      </c>
      <c r="C44" s="19"/>
      <c r="D44" s="19"/>
      <c r="E44" s="19"/>
      <c r="F44" s="145"/>
      <c r="G44" s="263"/>
      <c r="H44" s="330"/>
      <c r="I44" s="332"/>
    </row>
    <row r="45" spans="2:11" x14ac:dyDescent="0.25">
      <c r="B45" s="21"/>
      <c r="C45" s="7"/>
      <c r="D45" s="7"/>
      <c r="E45" s="7"/>
      <c r="F45" s="262"/>
      <c r="H45" s="330" t="s">
        <v>18</v>
      </c>
      <c r="I45" s="331">
        <v>383</v>
      </c>
    </row>
    <row r="46" spans="2:11" x14ac:dyDescent="0.25">
      <c r="B46" s="2" t="s">
        <v>19</v>
      </c>
      <c r="H46" s="330"/>
      <c r="I46" s="332"/>
    </row>
    <row r="47" spans="2:11" x14ac:dyDescent="0.25">
      <c r="H47" s="264"/>
      <c r="I47" s="264"/>
    </row>
    <row r="48" spans="2:11" x14ac:dyDescent="0.25">
      <c r="H48" s="264"/>
      <c r="I48" s="264"/>
    </row>
    <row r="49" spans="2:13" x14ac:dyDescent="0.25">
      <c r="H49" s="264"/>
      <c r="I49" s="264"/>
    </row>
    <row r="50" spans="2:13" x14ac:dyDescent="0.25">
      <c r="H50" s="264"/>
      <c r="I50" s="264"/>
    </row>
    <row r="51" spans="2:13" x14ac:dyDescent="0.25">
      <c r="H51" s="264"/>
      <c r="I51" s="264"/>
    </row>
    <row r="53" spans="2:13" x14ac:dyDescent="0.25">
      <c r="B53" s="307" t="s">
        <v>20</v>
      </c>
      <c r="C53" s="307"/>
      <c r="D53" s="307"/>
      <c r="E53" s="307"/>
      <c r="F53" s="307"/>
      <c r="G53" s="307"/>
      <c r="H53" s="307"/>
      <c r="I53" s="307"/>
    </row>
    <row r="54" spans="2:13" x14ac:dyDescent="0.25">
      <c r="C54" s="19"/>
      <c r="D54" s="19"/>
      <c r="E54" s="19"/>
      <c r="F54" s="265"/>
      <c r="G54" s="265"/>
      <c r="H54" s="265"/>
    </row>
    <row r="55" spans="2:13" x14ac:dyDescent="0.25">
      <c r="B55" s="306" t="s">
        <v>21</v>
      </c>
      <c r="C55" s="306" t="s">
        <v>22</v>
      </c>
      <c r="D55" s="306" t="s">
        <v>23</v>
      </c>
      <c r="E55" s="306" t="s">
        <v>24</v>
      </c>
      <c r="F55" s="327" t="s">
        <v>25</v>
      </c>
      <c r="G55" s="327"/>
      <c r="H55" s="327"/>
      <c r="I55" s="327"/>
    </row>
    <row r="56" spans="2:13" ht="60" x14ac:dyDescent="0.25">
      <c r="B56" s="306"/>
      <c r="C56" s="306"/>
      <c r="D56" s="306"/>
      <c r="E56" s="306"/>
      <c r="F56" s="266" t="s">
        <v>693</v>
      </c>
      <c r="G56" s="266" t="s">
        <v>694</v>
      </c>
      <c r="H56" s="266" t="s">
        <v>695</v>
      </c>
      <c r="I56" s="266" t="s">
        <v>29</v>
      </c>
    </row>
    <row r="57" spans="2:13" x14ac:dyDescent="0.25">
      <c r="B57" s="205">
        <v>1</v>
      </c>
      <c r="C57" s="206">
        <v>2</v>
      </c>
      <c r="D57" s="206">
        <v>3</v>
      </c>
      <c r="E57" s="206">
        <v>4</v>
      </c>
      <c r="F57" s="237">
        <v>5</v>
      </c>
      <c r="G57" s="237">
        <v>6</v>
      </c>
      <c r="H57" s="237">
        <v>7</v>
      </c>
      <c r="I57" s="237">
        <v>8</v>
      </c>
    </row>
    <row r="58" spans="2:13" x14ac:dyDescent="0.25">
      <c r="B58" s="24" t="s">
        <v>30</v>
      </c>
      <c r="C58" s="25" t="s">
        <v>31</v>
      </c>
      <c r="D58" s="206" t="s">
        <v>32</v>
      </c>
      <c r="E58" s="248" t="s">
        <v>32</v>
      </c>
      <c r="F58" s="251">
        <f>'Утверждено (МЗ,ИЦ,КАП)'!L4+'Утверждено (ПДД)'!D7</f>
        <v>3493423.1300000004</v>
      </c>
      <c r="G58" s="251"/>
      <c r="H58" s="251"/>
      <c r="I58" s="226"/>
      <c r="K58" s="227" t="s">
        <v>202</v>
      </c>
      <c r="M58" s="324" t="s">
        <v>203</v>
      </c>
    </row>
    <row r="59" spans="2:13" x14ac:dyDescent="0.25">
      <c r="B59" s="24" t="s">
        <v>33</v>
      </c>
      <c r="C59" s="25" t="s">
        <v>34</v>
      </c>
      <c r="D59" s="206" t="s">
        <v>32</v>
      </c>
      <c r="E59" s="248" t="s">
        <v>32</v>
      </c>
      <c r="F59" s="251">
        <f>F58+F60-F77+F166-F170</f>
        <v>0</v>
      </c>
      <c r="G59" s="251">
        <f>G58+G60-G77+G166-G170</f>
        <v>0</v>
      </c>
      <c r="H59" s="251">
        <f>H58+H60-H77+H166-H170</f>
        <v>0</v>
      </c>
      <c r="I59" s="226">
        <f>I58+I60-I77</f>
        <v>0</v>
      </c>
      <c r="K59" s="227" t="s">
        <v>202</v>
      </c>
      <c r="M59" s="324"/>
    </row>
    <row r="60" spans="2:13" s="28" customFormat="1" ht="14.25" x14ac:dyDescent="0.2">
      <c r="B60" s="29" t="s">
        <v>35</v>
      </c>
      <c r="C60" s="30" t="s">
        <v>36</v>
      </c>
      <c r="D60" s="31"/>
      <c r="E60" s="249"/>
      <c r="F60" s="267">
        <f>SUM(F61,F62,F65,F66,F70,F72,F75)</f>
        <v>64018757.920000002</v>
      </c>
      <c r="G60" s="267">
        <f>SUM(G61,G62,G65,G66,G70,G72,G75)</f>
        <v>39339000.25</v>
      </c>
      <c r="H60" s="267">
        <f>SUM(H61,H62,H65,H66,H70,H72,H75)</f>
        <v>39339000.25</v>
      </c>
      <c r="I60" s="268">
        <f>SUM(I61,I62,I65,I66,I70,I72)</f>
        <v>0</v>
      </c>
      <c r="J60" s="231">
        <f>F60+F58+F168-F77</f>
        <v>0</v>
      </c>
      <c r="K60" s="232"/>
      <c r="L60" s="232"/>
      <c r="M60" s="233"/>
    </row>
    <row r="61" spans="2:13" ht="30" x14ac:dyDescent="0.25">
      <c r="B61" s="24" t="s">
        <v>37</v>
      </c>
      <c r="C61" s="25" t="s">
        <v>38</v>
      </c>
      <c r="D61" s="206">
        <v>120</v>
      </c>
      <c r="E61" s="248"/>
      <c r="F61" s="251"/>
      <c r="G61" s="251"/>
      <c r="H61" s="251"/>
      <c r="I61" s="226"/>
      <c r="K61" s="46">
        <v>2</v>
      </c>
      <c r="L61" s="46">
        <v>121</v>
      </c>
      <c r="M61" s="2" t="s">
        <v>204</v>
      </c>
    </row>
    <row r="62" spans="2:13" ht="30" x14ac:dyDescent="0.25">
      <c r="B62" s="24" t="s">
        <v>39</v>
      </c>
      <c r="C62" s="25" t="s">
        <v>40</v>
      </c>
      <c r="D62" s="206">
        <v>130</v>
      </c>
      <c r="E62" s="248"/>
      <c r="F62" s="251">
        <f>SUM(F63:F64)</f>
        <v>62095386.219999999</v>
      </c>
      <c r="G62" s="251">
        <f t="shared" ref="G62:I62" si="0">SUM(G63:G64)</f>
        <v>39039000.25</v>
      </c>
      <c r="H62" s="251">
        <f t="shared" si="0"/>
        <v>39039000.25</v>
      </c>
      <c r="I62" s="226">
        <f t="shared" si="0"/>
        <v>0</v>
      </c>
      <c r="K62" s="234"/>
      <c r="L62" s="235"/>
    </row>
    <row r="63" spans="2:13" ht="74.25" customHeight="1" x14ac:dyDescent="0.25">
      <c r="B63" s="24" t="s">
        <v>41</v>
      </c>
      <c r="C63" s="25" t="s">
        <v>42</v>
      </c>
      <c r="D63" s="206">
        <v>130</v>
      </c>
      <c r="E63" s="248"/>
      <c r="F63" s="280">
        <f>'Утверждено (МЗ,ИЦ,КАП)'!I5</f>
        <v>55690637.219999999</v>
      </c>
      <c r="G63" s="251">
        <f>'Утверждено (МЗ,ИЦ,КАП)'!J5</f>
        <v>32634251.25</v>
      </c>
      <c r="H63" s="251">
        <f>'Утверждено (МЗ,ИЦ,КАП)'!K5</f>
        <v>32634251.25</v>
      </c>
      <c r="I63" s="226"/>
      <c r="K63" s="235">
        <v>4</v>
      </c>
      <c r="L63" s="235">
        <v>131</v>
      </c>
      <c r="M63" s="2" t="s">
        <v>205</v>
      </c>
    </row>
    <row r="64" spans="2:13" ht="45" x14ac:dyDescent="0.25">
      <c r="B64" s="24" t="s">
        <v>206</v>
      </c>
      <c r="C64" s="25" t="s">
        <v>207</v>
      </c>
      <c r="D64" s="206">
        <v>130</v>
      </c>
      <c r="E64" s="248"/>
      <c r="F64" s="285">
        <f>'Утверждено (ПДД)'!D19+'Утверждено (ПДД)'!D20+'Утверждено (ПДД)'!D22+'Утверждено (ПДД)'!D23</f>
        <v>6404749</v>
      </c>
      <c r="G64" s="251">
        <v>6404749</v>
      </c>
      <c r="H64" s="251">
        <v>6404749</v>
      </c>
      <c r="I64" s="226"/>
      <c r="K64" s="235">
        <v>2</v>
      </c>
      <c r="L64" s="235" t="s">
        <v>208</v>
      </c>
      <c r="M64" s="2" t="s">
        <v>209</v>
      </c>
    </row>
    <row r="65" spans="2:15" ht="32.25" customHeight="1" x14ac:dyDescent="0.25">
      <c r="B65" s="24" t="s">
        <v>43</v>
      </c>
      <c r="C65" s="25" t="s">
        <v>44</v>
      </c>
      <c r="D65" s="206">
        <v>140</v>
      </c>
      <c r="E65" s="248"/>
      <c r="F65" s="251"/>
      <c r="G65" s="251"/>
      <c r="H65" s="251"/>
      <c r="I65" s="226"/>
      <c r="K65" s="235">
        <v>2</v>
      </c>
      <c r="L65" s="235" t="s">
        <v>210</v>
      </c>
      <c r="M65" s="2" t="s">
        <v>211</v>
      </c>
    </row>
    <row r="66" spans="2:15" x14ac:dyDescent="0.25">
      <c r="B66" s="54" t="s">
        <v>45</v>
      </c>
      <c r="C66" s="236" t="s">
        <v>46</v>
      </c>
      <c r="D66" s="237">
        <v>150</v>
      </c>
      <c r="E66" s="250"/>
      <c r="F66" s="251">
        <f>SUM(F67:F69)</f>
        <v>1923371.6999999997</v>
      </c>
      <c r="G66" s="251">
        <f t="shared" ref="G66:H66" si="1">SUM(G67:G69)</f>
        <v>300000</v>
      </c>
      <c r="H66" s="251">
        <f t="shared" si="1"/>
        <v>300000</v>
      </c>
      <c r="I66" s="226">
        <f>SUM(I69:I69)</f>
        <v>0</v>
      </c>
      <c r="K66" s="235"/>
      <c r="L66" s="235"/>
    </row>
    <row r="67" spans="2:15" ht="30" x14ac:dyDescent="0.25">
      <c r="B67" s="54" t="s">
        <v>50</v>
      </c>
      <c r="C67" s="236" t="s">
        <v>213</v>
      </c>
      <c r="D67" s="237">
        <v>150</v>
      </c>
      <c r="E67" s="250"/>
      <c r="F67" s="284">
        <f>'Утверждено (МЗ,ИЦ,КАП)'!I197</f>
        <v>1623371.6999999997</v>
      </c>
      <c r="G67" s="251">
        <f>'Утверждено (МЗ,ИЦ,КАП)'!G197</f>
        <v>0</v>
      </c>
      <c r="H67" s="251">
        <f>'Утверждено (МЗ,ИЦ,КАП)'!H197</f>
        <v>0</v>
      </c>
      <c r="I67" s="226"/>
      <c r="K67" s="235">
        <v>5</v>
      </c>
      <c r="L67" s="238" t="s">
        <v>215</v>
      </c>
      <c r="M67" s="239" t="s">
        <v>216</v>
      </c>
      <c r="N67" s="240"/>
      <c r="O67" s="240"/>
    </row>
    <row r="68" spans="2:15" ht="30" x14ac:dyDescent="0.25">
      <c r="B68" s="54" t="s">
        <v>52</v>
      </c>
      <c r="C68" s="236" t="s">
        <v>614</v>
      </c>
      <c r="D68" s="237">
        <v>150</v>
      </c>
      <c r="E68" s="250"/>
      <c r="F68" s="251">
        <v>0</v>
      </c>
      <c r="G68" s="251">
        <v>0</v>
      </c>
      <c r="H68" s="251">
        <v>0</v>
      </c>
      <c r="I68" s="226"/>
      <c r="K68" s="235">
        <v>6</v>
      </c>
      <c r="L68" s="241"/>
      <c r="M68" s="242"/>
    </row>
    <row r="69" spans="2:15" ht="43.5" customHeight="1" x14ac:dyDescent="0.25">
      <c r="B69" s="54" t="s">
        <v>206</v>
      </c>
      <c r="C69" s="236" t="s">
        <v>619</v>
      </c>
      <c r="D69" s="237">
        <v>150</v>
      </c>
      <c r="E69" s="250"/>
      <c r="F69" s="285">
        <f>'Утверждено (ПДД)'!D24+'Утверждено (ПДД)'!D25+'Утверждено (ПДД)'!D26</f>
        <v>300000</v>
      </c>
      <c r="G69" s="251">
        <v>300000</v>
      </c>
      <c r="H69" s="251">
        <v>300000</v>
      </c>
      <c r="I69" s="226"/>
      <c r="K69" s="235">
        <v>2</v>
      </c>
      <c r="L69" s="235">
        <v>155</v>
      </c>
      <c r="M69" s="2" t="s">
        <v>633</v>
      </c>
    </row>
    <row r="70" spans="2:15" x14ac:dyDescent="0.25">
      <c r="B70" s="54" t="s">
        <v>48</v>
      </c>
      <c r="C70" s="236" t="s">
        <v>49</v>
      </c>
      <c r="D70" s="237">
        <v>180</v>
      </c>
      <c r="E70" s="250"/>
      <c r="F70" s="251">
        <f>SUM(F71:F71)</f>
        <v>0</v>
      </c>
      <c r="G70" s="251">
        <f>SUM(G71:G71)</f>
        <v>0</v>
      </c>
      <c r="H70" s="251">
        <f>SUM(H71:H71)</f>
        <v>0</v>
      </c>
      <c r="I70" s="226">
        <f>SUM(I71:I71)</f>
        <v>0</v>
      </c>
      <c r="K70" s="235"/>
      <c r="L70" s="235"/>
    </row>
    <row r="71" spans="2:15" ht="13.9" customHeight="1" x14ac:dyDescent="0.25">
      <c r="B71" s="54" t="s">
        <v>730</v>
      </c>
      <c r="C71" s="236" t="s">
        <v>51</v>
      </c>
      <c r="D71" s="237">
        <v>180</v>
      </c>
      <c r="E71" s="250"/>
      <c r="F71" s="251"/>
      <c r="G71" s="251">
        <f>'Утверждено (МЗ,ИЦ,КАП)'!J199</f>
        <v>0</v>
      </c>
      <c r="H71" s="251">
        <f>'Утверждено (МЗ,ИЦ,КАП)'!K199</f>
        <v>0</v>
      </c>
      <c r="I71" s="226"/>
      <c r="K71" s="235">
        <v>5</v>
      </c>
      <c r="L71" s="235" t="s">
        <v>215</v>
      </c>
      <c r="M71" s="2" t="s">
        <v>216</v>
      </c>
    </row>
    <row r="72" spans="2:15" ht="15" customHeight="1" x14ac:dyDescent="0.25">
      <c r="B72" s="24" t="s">
        <v>54</v>
      </c>
      <c r="C72" s="25" t="s">
        <v>55</v>
      </c>
      <c r="D72" s="206"/>
      <c r="E72" s="248"/>
      <c r="F72" s="251">
        <f>SUM(F73:F74)</f>
        <v>0</v>
      </c>
      <c r="G72" s="251">
        <f t="shared" ref="G72:I72" si="2">SUM(G73:G74)</f>
        <v>0</v>
      </c>
      <c r="H72" s="251">
        <f t="shared" si="2"/>
        <v>0</v>
      </c>
      <c r="I72" s="226">
        <f t="shared" si="2"/>
        <v>0</v>
      </c>
      <c r="K72" s="235"/>
      <c r="L72" s="235"/>
    </row>
    <row r="73" spans="2:15" ht="60" x14ac:dyDescent="0.25">
      <c r="B73" s="24" t="s">
        <v>212</v>
      </c>
      <c r="C73" s="25" t="s">
        <v>217</v>
      </c>
      <c r="D73" s="206">
        <v>410</v>
      </c>
      <c r="E73" s="248"/>
      <c r="F73" s="251"/>
      <c r="G73" s="251"/>
      <c r="H73" s="251"/>
      <c r="I73" s="226"/>
      <c r="K73" s="235">
        <v>2</v>
      </c>
      <c r="L73" s="235">
        <v>410</v>
      </c>
      <c r="M73" s="1" t="s">
        <v>218</v>
      </c>
    </row>
    <row r="74" spans="2:15" ht="45" x14ac:dyDescent="0.25">
      <c r="B74" s="24" t="s">
        <v>206</v>
      </c>
      <c r="C74" s="25" t="s">
        <v>219</v>
      </c>
      <c r="D74" s="206">
        <v>440</v>
      </c>
      <c r="E74" s="248"/>
      <c r="F74" s="251"/>
      <c r="G74" s="251"/>
      <c r="H74" s="251"/>
      <c r="I74" s="226"/>
      <c r="K74" s="235">
        <v>2</v>
      </c>
      <c r="L74" s="235" t="s">
        <v>220</v>
      </c>
      <c r="M74" s="2" t="s">
        <v>221</v>
      </c>
    </row>
    <row r="75" spans="2:15" x14ac:dyDescent="0.25">
      <c r="B75" s="24" t="s">
        <v>56</v>
      </c>
      <c r="C75" s="25" t="s">
        <v>57</v>
      </c>
      <c r="D75" s="206" t="s">
        <v>32</v>
      </c>
      <c r="E75" s="248"/>
      <c r="F75" s="251">
        <f>F76</f>
        <v>0</v>
      </c>
      <c r="G75" s="251"/>
      <c r="H75" s="251"/>
      <c r="I75" s="226"/>
      <c r="K75" s="235" t="s">
        <v>222</v>
      </c>
      <c r="L75" s="235"/>
      <c r="M75" s="5" t="s">
        <v>223</v>
      </c>
    </row>
    <row r="76" spans="2:15" ht="58.5" customHeight="1" x14ac:dyDescent="0.25">
      <c r="B76" s="24" t="s">
        <v>58</v>
      </c>
      <c r="C76" s="25" t="s">
        <v>59</v>
      </c>
      <c r="D76" s="206">
        <v>510</v>
      </c>
      <c r="E76" s="248"/>
      <c r="F76" s="251"/>
      <c r="G76" s="251"/>
      <c r="H76" s="251"/>
      <c r="I76" s="269" t="s">
        <v>32</v>
      </c>
      <c r="K76" s="235" t="s">
        <v>222</v>
      </c>
      <c r="L76" s="235"/>
      <c r="M76" s="2" t="s">
        <v>224</v>
      </c>
    </row>
    <row r="77" spans="2:15" s="28" customFormat="1" ht="14.25" x14ac:dyDescent="0.2">
      <c r="B77" s="29" t="s">
        <v>60</v>
      </c>
      <c r="C77" s="30" t="s">
        <v>61</v>
      </c>
      <c r="D77" s="31" t="s">
        <v>32</v>
      </c>
      <c r="E77" s="249"/>
      <c r="F77" s="267">
        <f>SUM(F78,F97,F110,F120,F133,F137,F157)</f>
        <v>67512148.049999997</v>
      </c>
      <c r="G77" s="267">
        <f t="shared" ref="G77:I77" si="3">SUM(G78,G97,G110,G120,G133,G137,G157)</f>
        <v>39339000.25</v>
      </c>
      <c r="H77" s="267">
        <f t="shared" si="3"/>
        <v>39339000.25</v>
      </c>
      <c r="I77" s="268">
        <f t="shared" si="3"/>
        <v>0</v>
      </c>
      <c r="K77" s="243"/>
      <c r="L77" s="243"/>
      <c r="M77" s="233"/>
    </row>
    <row r="78" spans="2:15" ht="30" x14ac:dyDescent="0.25">
      <c r="B78" s="24" t="s">
        <v>62</v>
      </c>
      <c r="C78" s="25" t="s">
        <v>63</v>
      </c>
      <c r="D78" s="206" t="s">
        <v>32</v>
      </c>
      <c r="E78" s="248"/>
      <c r="F78" s="251">
        <f>SUM(F79,F83,F86,F89)</f>
        <v>47744840.939999998</v>
      </c>
      <c r="G78" s="251">
        <f t="shared" ref="G78:H78" si="4">SUM(G79,G83,G86,G89)</f>
        <v>26841900</v>
      </c>
      <c r="H78" s="251">
        <f t="shared" si="4"/>
        <v>26841900</v>
      </c>
      <c r="I78" s="226"/>
      <c r="K78" s="235"/>
      <c r="L78" s="235"/>
    </row>
    <row r="79" spans="2:15" ht="30" x14ac:dyDescent="0.25">
      <c r="B79" s="24" t="s">
        <v>64</v>
      </c>
      <c r="C79" s="25" t="s">
        <v>65</v>
      </c>
      <c r="D79" s="206">
        <v>111</v>
      </c>
      <c r="E79" s="248"/>
      <c r="F79" s="251">
        <f>SUM(F80:F82)</f>
        <v>36359241.780000001</v>
      </c>
      <c r="G79" s="251">
        <f t="shared" ref="G79:H79" si="5">SUM(G80:G82)</f>
        <v>20620828</v>
      </c>
      <c r="H79" s="251">
        <f t="shared" si="5"/>
        <v>20620828</v>
      </c>
      <c r="I79" s="269" t="s">
        <v>32</v>
      </c>
      <c r="K79" s="235"/>
      <c r="L79" s="235"/>
    </row>
    <row r="80" spans="2:15" ht="79.5" customHeight="1" x14ac:dyDescent="0.25">
      <c r="B80" s="35" t="s">
        <v>225</v>
      </c>
      <c r="C80" s="25" t="s">
        <v>226</v>
      </c>
      <c r="D80" s="206">
        <v>111</v>
      </c>
      <c r="E80" s="248"/>
      <c r="F80" s="251">
        <f>'Утверждено (МЗ,ИЦ,КАП)'!F7+'Утверждено (МЗ,ИЦ,КАП)'!F8+'Утверждено (МЗ,ИЦ,КАП)'!F114+'Утверждено (МЗ,ИЦ,КАП)'!F115</f>
        <v>36290808.780000001</v>
      </c>
      <c r="G80" s="251">
        <f>'Утверждено (МЗ,ИЦ,КАП)'!J7+'Утверждено (МЗ,ИЦ,КАП)'!J8+'Утверждено (МЗ,ИЦ,КАП)'!J114+'Утверждено (МЗ,ИЦ,КАП)'!J115</f>
        <v>20552395</v>
      </c>
      <c r="H80" s="251">
        <f>'Утверждено (МЗ,ИЦ,КАП)'!K7+'Утверждено (МЗ,ИЦ,КАП)'!K8+'Утверждено (МЗ,ИЦ,КАП)'!K114+'Утверждено (МЗ,ИЦ,КАП)'!K115</f>
        <v>20552395</v>
      </c>
      <c r="I80" s="269" t="s">
        <v>32</v>
      </c>
      <c r="K80" s="235">
        <v>4</v>
      </c>
      <c r="L80" s="235" t="s">
        <v>227</v>
      </c>
      <c r="M80" s="2" t="s">
        <v>228</v>
      </c>
    </row>
    <row r="81" spans="2:13" ht="45" x14ac:dyDescent="0.25">
      <c r="B81" s="24" t="s">
        <v>229</v>
      </c>
      <c r="C81" s="25" t="s">
        <v>230</v>
      </c>
      <c r="D81" s="206">
        <v>111</v>
      </c>
      <c r="E81" s="248"/>
      <c r="F81" s="281">
        <f>'Утверждено (ПДД)'!D52+'Утверждено (ПДД)'!D53</f>
        <v>68433</v>
      </c>
      <c r="G81" s="251">
        <v>68433</v>
      </c>
      <c r="H81" s="251">
        <v>68433</v>
      </c>
      <c r="I81" s="269" t="s">
        <v>32</v>
      </c>
      <c r="K81" s="235">
        <v>2</v>
      </c>
      <c r="L81" s="235" t="s">
        <v>227</v>
      </c>
      <c r="M81" s="2" t="s">
        <v>228</v>
      </c>
    </row>
    <row r="82" spans="2:13" x14ac:dyDescent="0.25">
      <c r="B82" s="24" t="s">
        <v>231</v>
      </c>
      <c r="C82" s="25" t="s">
        <v>232</v>
      </c>
      <c r="D82" s="206">
        <v>111</v>
      </c>
      <c r="E82" s="248"/>
      <c r="F82" s="251"/>
      <c r="G82" s="251"/>
      <c r="H82" s="251"/>
      <c r="I82" s="269" t="s">
        <v>32</v>
      </c>
      <c r="K82" s="235">
        <v>5</v>
      </c>
      <c r="L82" s="235" t="s">
        <v>227</v>
      </c>
      <c r="M82" s="2" t="s">
        <v>228</v>
      </c>
    </row>
    <row r="83" spans="2:13" ht="30" x14ac:dyDescent="0.25">
      <c r="B83" s="24" t="s">
        <v>67</v>
      </c>
      <c r="C83" s="25" t="s">
        <v>68</v>
      </c>
      <c r="D83" s="206">
        <v>112</v>
      </c>
      <c r="E83" s="248"/>
      <c r="F83" s="251">
        <f>SUM(F84:F85)</f>
        <v>0</v>
      </c>
      <c r="G83" s="251">
        <f t="shared" ref="G83:H83" si="6">SUM(G84:G85)</f>
        <v>0</v>
      </c>
      <c r="H83" s="251">
        <f t="shared" si="6"/>
        <v>0</v>
      </c>
      <c r="I83" s="269" t="s">
        <v>32</v>
      </c>
      <c r="K83" s="235"/>
      <c r="L83" s="235"/>
    </row>
    <row r="84" spans="2:13" ht="77.25" customHeight="1" x14ac:dyDescent="0.25">
      <c r="B84" s="35" t="s">
        <v>225</v>
      </c>
      <c r="C84" s="25" t="s">
        <v>233</v>
      </c>
      <c r="D84" s="206">
        <v>112</v>
      </c>
      <c r="E84" s="248"/>
      <c r="F84" s="251">
        <f>'Утверждено (МЗ,ИЦ,КАП)'!I9+'Утверждено (МЗ,ИЦ,КАП)'!I116</f>
        <v>0</v>
      </c>
      <c r="G84" s="251">
        <f>'Утверждено (МЗ,ИЦ,КАП)'!J9+'Утверждено (МЗ,ИЦ,КАП)'!J116</f>
        <v>0</v>
      </c>
      <c r="H84" s="251">
        <f>'Утверждено (МЗ,ИЦ,КАП)'!K9+'Утверждено (МЗ,ИЦ,КАП)'!K116</f>
        <v>0</v>
      </c>
      <c r="I84" s="269" t="s">
        <v>32</v>
      </c>
      <c r="K84" s="235">
        <v>4</v>
      </c>
      <c r="L84" s="235" t="s">
        <v>234</v>
      </c>
      <c r="M84" s="2" t="s">
        <v>235</v>
      </c>
    </row>
    <row r="85" spans="2:13" ht="45" x14ac:dyDescent="0.25">
      <c r="B85" s="24" t="s">
        <v>229</v>
      </c>
      <c r="C85" s="25" t="s">
        <v>236</v>
      </c>
      <c r="D85" s="206">
        <v>112</v>
      </c>
      <c r="E85" s="248"/>
      <c r="F85" s="251"/>
      <c r="G85" s="251"/>
      <c r="H85" s="251"/>
      <c r="I85" s="269" t="s">
        <v>32</v>
      </c>
      <c r="K85" s="235">
        <v>2</v>
      </c>
      <c r="L85" s="235" t="s">
        <v>234</v>
      </c>
      <c r="M85" s="2" t="s">
        <v>235</v>
      </c>
    </row>
    <row r="86" spans="2:13" ht="46.5" customHeight="1" x14ac:dyDescent="0.25">
      <c r="B86" s="24" t="s">
        <v>69</v>
      </c>
      <c r="C86" s="25" t="s">
        <v>70</v>
      </c>
      <c r="D86" s="206">
        <v>113</v>
      </c>
      <c r="E86" s="248"/>
      <c r="F86" s="251">
        <f>SUM(F87:F88)</f>
        <v>0</v>
      </c>
      <c r="G86" s="251">
        <f t="shared" ref="G86:H86" si="7">SUM(G87:G88)</f>
        <v>0</v>
      </c>
      <c r="H86" s="251">
        <f t="shared" si="7"/>
        <v>0</v>
      </c>
      <c r="I86" s="269" t="s">
        <v>32</v>
      </c>
      <c r="K86" s="235"/>
      <c r="L86" s="235"/>
    </row>
    <row r="87" spans="2:13" ht="76.5" customHeight="1" x14ac:dyDescent="0.25">
      <c r="B87" s="35" t="s">
        <v>225</v>
      </c>
      <c r="C87" s="25" t="s">
        <v>237</v>
      </c>
      <c r="D87" s="206">
        <v>113</v>
      </c>
      <c r="E87" s="248"/>
      <c r="F87" s="251"/>
      <c r="G87" s="251"/>
      <c r="H87" s="251"/>
      <c r="I87" s="269" t="s">
        <v>32</v>
      </c>
      <c r="K87" s="235">
        <v>4</v>
      </c>
      <c r="L87" s="235">
        <v>226</v>
      </c>
      <c r="M87" s="2" t="s">
        <v>238</v>
      </c>
    </row>
    <row r="88" spans="2:13" ht="45" x14ac:dyDescent="0.25">
      <c r="B88" s="24" t="s">
        <v>229</v>
      </c>
      <c r="C88" s="25" t="s">
        <v>239</v>
      </c>
      <c r="D88" s="206">
        <v>113</v>
      </c>
      <c r="E88" s="248"/>
      <c r="F88" s="251"/>
      <c r="G88" s="251"/>
      <c r="H88" s="251"/>
      <c r="I88" s="269" t="s">
        <v>32</v>
      </c>
      <c r="K88" s="235">
        <v>2</v>
      </c>
      <c r="L88" s="235">
        <v>226</v>
      </c>
      <c r="M88" s="2" t="s">
        <v>238</v>
      </c>
    </row>
    <row r="89" spans="2:13" ht="58.5" customHeight="1" x14ac:dyDescent="0.25">
      <c r="B89" s="24" t="s">
        <v>71</v>
      </c>
      <c r="C89" s="25" t="s">
        <v>72</v>
      </c>
      <c r="D89" s="206">
        <v>119</v>
      </c>
      <c r="E89" s="248"/>
      <c r="F89" s="251">
        <f>SUM(F90,F94)</f>
        <v>11385599.16</v>
      </c>
      <c r="G89" s="251">
        <f t="shared" ref="G89:H89" si="8">SUM(G90,G94)</f>
        <v>6221072</v>
      </c>
      <c r="H89" s="251">
        <f t="shared" si="8"/>
        <v>6221072</v>
      </c>
      <c r="I89" s="269" t="s">
        <v>32</v>
      </c>
      <c r="K89" s="235"/>
      <c r="L89" s="235"/>
    </row>
    <row r="90" spans="2:13" ht="30" x14ac:dyDescent="0.25">
      <c r="B90" s="24" t="s">
        <v>73</v>
      </c>
      <c r="C90" s="25" t="s">
        <v>74</v>
      </c>
      <c r="D90" s="206">
        <v>119</v>
      </c>
      <c r="E90" s="248"/>
      <c r="F90" s="251">
        <f>SUM(F91:F93)</f>
        <v>11385599.16</v>
      </c>
      <c r="G90" s="251">
        <f t="shared" ref="G90:H90" si="9">SUM(G91:G93)</f>
        <v>6221072</v>
      </c>
      <c r="H90" s="251">
        <f t="shared" si="9"/>
        <v>6221072</v>
      </c>
      <c r="I90" s="269" t="s">
        <v>32</v>
      </c>
      <c r="K90" s="235"/>
      <c r="L90" s="235"/>
    </row>
    <row r="91" spans="2:13" ht="91.5" customHeight="1" x14ac:dyDescent="0.25">
      <c r="B91" s="35" t="s">
        <v>240</v>
      </c>
      <c r="C91" s="25"/>
      <c r="D91" s="206">
        <v>119</v>
      </c>
      <c r="E91" s="248"/>
      <c r="F91" s="251">
        <f>'Утверждено (МЗ,ИЦ,КАП)'!F12+'Утверждено (МЗ,ИЦ,КАП)'!F119</f>
        <v>11364932.16</v>
      </c>
      <c r="G91" s="251">
        <f>'Утверждено (МЗ,ИЦ,КАП)'!J12+'Утверждено (МЗ,ИЦ,КАП)'!J119</f>
        <v>6200405</v>
      </c>
      <c r="H91" s="251">
        <f>'Утверждено (МЗ,ИЦ,КАП)'!K12+'Утверждено (МЗ,ИЦ,КАП)'!K119</f>
        <v>6200405</v>
      </c>
      <c r="I91" s="269" t="s">
        <v>32</v>
      </c>
      <c r="K91" s="235">
        <v>4</v>
      </c>
      <c r="L91" s="244">
        <v>213</v>
      </c>
      <c r="M91" s="2" t="s">
        <v>241</v>
      </c>
    </row>
    <row r="92" spans="2:13" ht="45" x14ac:dyDescent="0.25">
      <c r="B92" s="24" t="s">
        <v>242</v>
      </c>
      <c r="C92" s="25"/>
      <c r="D92" s="206">
        <v>119</v>
      </c>
      <c r="E92" s="248"/>
      <c r="F92" s="251">
        <f>'Утверждено (ПДД)'!D57</f>
        <v>20667</v>
      </c>
      <c r="G92" s="251">
        <v>20667</v>
      </c>
      <c r="H92" s="251">
        <v>20667</v>
      </c>
      <c r="I92" s="269" t="s">
        <v>32</v>
      </c>
      <c r="K92" s="235">
        <v>2</v>
      </c>
      <c r="L92" s="244">
        <v>213</v>
      </c>
      <c r="M92" s="2" t="s">
        <v>241</v>
      </c>
    </row>
    <row r="93" spans="2:13" x14ac:dyDescent="0.25">
      <c r="B93" s="24" t="s">
        <v>243</v>
      </c>
      <c r="C93" s="25"/>
      <c r="D93" s="206">
        <v>119</v>
      </c>
      <c r="E93" s="248"/>
      <c r="F93" s="251"/>
      <c r="G93" s="251"/>
      <c r="H93" s="251"/>
      <c r="I93" s="269" t="s">
        <v>32</v>
      </c>
      <c r="K93" s="235">
        <v>5</v>
      </c>
      <c r="L93" s="235">
        <v>213</v>
      </c>
      <c r="M93" s="2" t="s">
        <v>241</v>
      </c>
    </row>
    <row r="94" spans="2:13" x14ac:dyDescent="0.25">
      <c r="B94" s="24" t="s">
        <v>76</v>
      </c>
      <c r="C94" s="25" t="s">
        <v>77</v>
      </c>
      <c r="D94" s="206">
        <v>119</v>
      </c>
      <c r="E94" s="248"/>
      <c r="F94" s="251">
        <f>SUM(F95:F96)</f>
        <v>0</v>
      </c>
      <c r="G94" s="251">
        <f t="shared" ref="G94:H94" si="10">SUM(G95:G96)</f>
        <v>0</v>
      </c>
      <c r="H94" s="251">
        <f t="shared" si="10"/>
        <v>0</v>
      </c>
      <c r="I94" s="269" t="s">
        <v>32</v>
      </c>
      <c r="J94" s="230"/>
      <c r="K94" s="235"/>
      <c r="L94" s="235"/>
    </row>
    <row r="95" spans="2:13" ht="92.25" customHeight="1" x14ac:dyDescent="0.25">
      <c r="B95" s="35" t="s">
        <v>240</v>
      </c>
      <c r="C95" s="25"/>
      <c r="D95" s="206">
        <v>119</v>
      </c>
      <c r="E95" s="248"/>
      <c r="F95" s="251"/>
      <c r="G95" s="251"/>
      <c r="H95" s="251"/>
      <c r="I95" s="269"/>
      <c r="K95" s="235">
        <v>4</v>
      </c>
      <c r="L95" s="244" t="s">
        <v>244</v>
      </c>
      <c r="M95" s="2" t="s">
        <v>245</v>
      </c>
    </row>
    <row r="96" spans="2:13" ht="45" x14ac:dyDescent="0.25">
      <c r="B96" s="24" t="s">
        <v>242</v>
      </c>
      <c r="C96" s="25"/>
      <c r="D96" s="206">
        <v>119</v>
      </c>
      <c r="E96" s="248"/>
      <c r="F96" s="251"/>
      <c r="G96" s="251"/>
      <c r="H96" s="251"/>
      <c r="I96" s="269"/>
      <c r="K96" s="235">
        <v>2</v>
      </c>
      <c r="L96" s="244" t="s">
        <v>244</v>
      </c>
      <c r="M96" s="2" t="s">
        <v>245</v>
      </c>
    </row>
    <row r="97" spans="2:13" x14ac:dyDescent="0.25">
      <c r="B97" s="24" t="s">
        <v>78</v>
      </c>
      <c r="C97" s="25" t="s">
        <v>79</v>
      </c>
      <c r="D97" s="206">
        <v>300</v>
      </c>
      <c r="E97" s="248"/>
      <c r="F97" s="251">
        <f>SUM(F98,F104,F106,F108)</f>
        <v>0</v>
      </c>
      <c r="G97" s="251">
        <f t="shared" ref="G97:H97" si="11">SUM(G98,G104,G106,G108)</f>
        <v>0</v>
      </c>
      <c r="H97" s="251">
        <f t="shared" si="11"/>
        <v>0</v>
      </c>
      <c r="I97" s="269" t="s">
        <v>32</v>
      </c>
      <c r="K97" s="235"/>
      <c r="L97" s="235"/>
    </row>
    <row r="98" spans="2:13" ht="45" x14ac:dyDescent="0.25">
      <c r="B98" s="24" t="s">
        <v>80</v>
      </c>
      <c r="C98" s="25" t="s">
        <v>81</v>
      </c>
      <c r="D98" s="206">
        <v>320</v>
      </c>
      <c r="E98" s="248"/>
      <c r="F98" s="251">
        <f>SUM(F99,F102)</f>
        <v>0</v>
      </c>
      <c r="G98" s="251">
        <f t="shared" ref="G98:H98" si="12">SUM(G99,G102)</f>
        <v>0</v>
      </c>
      <c r="H98" s="251">
        <f t="shared" si="12"/>
        <v>0</v>
      </c>
      <c r="I98" s="269" t="s">
        <v>32</v>
      </c>
      <c r="K98" s="235"/>
      <c r="L98" s="235"/>
    </row>
    <row r="99" spans="2:13" ht="60" x14ac:dyDescent="0.25">
      <c r="B99" s="24" t="s">
        <v>82</v>
      </c>
      <c r="C99" s="25" t="s">
        <v>83</v>
      </c>
      <c r="D99" s="206">
        <v>321</v>
      </c>
      <c r="E99" s="248"/>
      <c r="F99" s="251">
        <f>SUM(F100:F101)</f>
        <v>0</v>
      </c>
      <c r="G99" s="251">
        <f t="shared" ref="G99:H99" si="13">SUM(G100:G101)</f>
        <v>0</v>
      </c>
      <c r="H99" s="251">
        <f t="shared" si="13"/>
        <v>0</v>
      </c>
      <c r="I99" s="269" t="s">
        <v>32</v>
      </c>
      <c r="K99" s="235"/>
      <c r="L99" s="235"/>
    </row>
    <row r="100" spans="2:13" ht="91.5" customHeight="1" x14ac:dyDescent="0.25">
      <c r="B100" s="35" t="s">
        <v>240</v>
      </c>
      <c r="C100" s="25"/>
      <c r="D100" s="206">
        <v>321</v>
      </c>
      <c r="E100" s="248"/>
      <c r="F100" s="251">
        <f>'Утверждено (МЗ,ИЦ,КАП)'!I84</f>
        <v>0</v>
      </c>
      <c r="G100" s="251">
        <f>'Утверждено (МЗ,ИЦ,КАП)'!J84</f>
        <v>0</v>
      </c>
      <c r="H100" s="251">
        <f>'Утверждено (МЗ,ИЦ,КАП)'!K84</f>
        <v>0</v>
      </c>
      <c r="I100" s="269" t="s">
        <v>32</v>
      </c>
      <c r="K100" s="235">
        <v>4</v>
      </c>
      <c r="L100" s="235" t="s">
        <v>502</v>
      </c>
      <c r="M100" s="2" t="s">
        <v>503</v>
      </c>
    </row>
    <row r="101" spans="2:13" ht="45" x14ac:dyDescent="0.25">
      <c r="B101" s="24" t="s">
        <v>242</v>
      </c>
      <c r="C101" s="25"/>
      <c r="D101" s="206">
        <v>321</v>
      </c>
      <c r="E101" s="248"/>
      <c r="F101" s="251"/>
      <c r="G101" s="251"/>
      <c r="H101" s="251"/>
      <c r="I101" s="269" t="s">
        <v>32</v>
      </c>
      <c r="K101" s="235">
        <v>2</v>
      </c>
      <c r="L101" s="235" t="s">
        <v>246</v>
      </c>
      <c r="M101" s="2" t="s">
        <v>247</v>
      </c>
    </row>
    <row r="102" spans="2:13" ht="30" x14ac:dyDescent="0.25">
      <c r="B102" s="24" t="s">
        <v>248</v>
      </c>
      <c r="C102" s="25" t="s">
        <v>249</v>
      </c>
      <c r="D102" s="206">
        <v>323</v>
      </c>
      <c r="E102" s="248"/>
      <c r="F102" s="251">
        <f>SUM(F103)</f>
        <v>0</v>
      </c>
      <c r="G102" s="251">
        <f t="shared" ref="G102:H102" si="14">SUM(G103)</f>
        <v>0</v>
      </c>
      <c r="H102" s="251">
        <f t="shared" si="14"/>
        <v>0</v>
      </c>
      <c r="I102" s="269"/>
      <c r="K102" s="235"/>
      <c r="L102" s="235"/>
    </row>
    <row r="103" spans="2:13" ht="31.5" customHeight="1" x14ac:dyDescent="0.25">
      <c r="B103" s="35" t="s">
        <v>250</v>
      </c>
      <c r="C103" s="25"/>
      <c r="D103" s="206">
        <v>323</v>
      </c>
      <c r="E103" s="248"/>
      <c r="F103" s="251"/>
      <c r="G103" s="251"/>
      <c r="H103" s="251"/>
      <c r="I103" s="269"/>
      <c r="K103" s="235">
        <v>5</v>
      </c>
      <c r="L103" s="235" t="s">
        <v>251</v>
      </c>
      <c r="M103" s="2" t="s">
        <v>252</v>
      </c>
    </row>
    <row r="104" spans="2:13" x14ac:dyDescent="0.25">
      <c r="B104" s="24" t="s">
        <v>84</v>
      </c>
      <c r="C104" s="25" t="s">
        <v>85</v>
      </c>
      <c r="D104" s="206">
        <v>340</v>
      </c>
      <c r="E104" s="248"/>
      <c r="F104" s="251">
        <f>SUM(F105)</f>
        <v>0</v>
      </c>
      <c r="G104" s="251">
        <f t="shared" ref="G104:H104" si="15">SUM(G105)</f>
        <v>0</v>
      </c>
      <c r="H104" s="251">
        <f t="shared" si="15"/>
        <v>0</v>
      </c>
      <c r="I104" s="269" t="s">
        <v>32</v>
      </c>
      <c r="K104" s="235"/>
      <c r="L104" s="235"/>
    </row>
    <row r="105" spans="2:13" ht="30" customHeight="1" x14ac:dyDescent="0.25">
      <c r="B105" s="35" t="s">
        <v>250</v>
      </c>
      <c r="C105" s="25" t="s">
        <v>253</v>
      </c>
      <c r="D105" s="206">
        <v>340</v>
      </c>
      <c r="E105" s="248"/>
      <c r="F105" s="251"/>
      <c r="G105" s="251"/>
      <c r="H105" s="251"/>
      <c r="I105" s="269" t="s">
        <v>32</v>
      </c>
      <c r="K105" s="235">
        <v>5</v>
      </c>
      <c r="L105" s="235">
        <v>296</v>
      </c>
      <c r="M105" s="2" t="s">
        <v>254</v>
      </c>
    </row>
    <row r="106" spans="2:13" ht="89.25" hidden="1" customHeight="1" x14ac:dyDescent="0.25">
      <c r="B106" s="24" t="s">
        <v>86</v>
      </c>
      <c r="C106" s="25" t="s">
        <v>87</v>
      </c>
      <c r="D106" s="206">
        <v>350</v>
      </c>
      <c r="E106" s="248"/>
      <c r="F106" s="251">
        <f>SUM(F107)</f>
        <v>0</v>
      </c>
      <c r="G106" s="251">
        <f t="shared" ref="G106:H106" si="16">SUM(G107)</f>
        <v>0</v>
      </c>
      <c r="H106" s="251">
        <f t="shared" si="16"/>
        <v>0</v>
      </c>
      <c r="I106" s="269" t="s">
        <v>32</v>
      </c>
      <c r="J106" s="1" t="s">
        <v>255</v>
      </c>
      <c r="K106" s="235"/>
      <c r="L106" s="235"/>
    </row>
    <row r="107" spans="2:13" ht="30" hidden="1" customHeight="1" x14ac:dyDescent="0.25">
      <c r="B107" s="35" t="s">
        <v>66</v>
      </c>
      <c r="C107" s="25"/>
      <c r="D107" s="206"/>
      <c r="E107" s="248"/>
      <c r="F107" s="251"/>
      <c r="G107" s="251"/>
      <c r="H107" s="251"/>
      <c r="I107" s="269" t="s">
        <v>32</v>
      </c>
      <c r="K107" s="235"/>
      <c r="L107" s="235"/>
    </row>
    <row r="108" spans="2:13" ht="30.75" hidden="1" customHeight="1" x14ac:dyDescent="0.25">
      <c r="B108" s="24" t="s">
        <v>88</v>
      </c>
      <c r="C108" s="25" t="s">
        <v>89</v>
      </c>
      <c r="D108" s="206">
        <v>360</v>
      </c>
      <c r="E108" s="248"/>
      <c r="F108" s="251">
        <f>SUM(F109)</f>
        <v>0</v>
      </c>
      <c r="G108" s="251">
        <f t="shared" ref="G108:H108" si="17">SUM(G109)</f>
        <v>0</v>
      </c>
      <c r="H108" s="251">
        <f t="shared" si="17"/>
        <v>0</v>
      </c>
      <c r="I108" s="269" t="s">
        <v>32</v>
      </c>
      <c r="J108" s="1" t="s">
        <v>255</v>
      </c>
      <c r="K108" s="235"/>
      <c r="L108" s="235"/>
    </row>
    <row r="109" spans="2:13" ht="30" hidden="1" customHeight="1" x14ac:dyDescent="0.25">
      <c r="B109" s="35" t="s">
        <v>66</v>
      </c>
      <c r="C109" s="25"/>
      <c r="D109" s="206"/>
      <c r="E109" s="248"/>
      <c r="F109" s="251"/>
      <c r="G109" s="251"/>
      <c r="H109" s="251"/>
      <c r="I109" s="269" t="s">
        <v>32</v>
      </c>
      <c r="K109" s="235"/>
      <c r="L109" s="235"/>
    </row>
    <row r="110" spans="2:13" x14ac:dyDescent="0.25">
      <c r="B110" s="24" t="s">
        <v>90</v>
      </c>
      <c r="C110" s="25" t="s">
        <v>91</v>
      </c>
      <c r="D110" s="206">
        <v>850</v>
      </c>
      <c r="E110" s="248"/>
      <c r="F110" s="251">
        <f>SUM(F111,F114,F117)</f>
        <v>2276957</v>
      </c>
      <c r="G110" s="251">
        <f t="shared" ref="G110:H110" si="18">SUM(G111,G114,G117)</f>
        <v>1296119</v>
      </c>
      <c r="H110" s="251">
        <f t="shared" si="18"/>
        <v>1296119</v>
      </c>
      <c r="I110" s="269" t="s">
        <v>32</v>
      </c>
      <c r="K110" s="235"/>
      <c r="L110" s="235"/>
    </row>
    <row r="111" spans="2:13" ht="45" x14ac:dyDescent="0.25">
      <c r="B111" s="24" t="s">
        <v>92</v>
      </c>
      <c r="C111" s="25" t="s">
        <v>93</v>
      </c>
      <c r="D111" s="206">
        <v>851</v>
      </c>
      <c r="E111" s="248"/>
      <c r="F111" s="251">
        <f>SUM(F112:F113)</f>
        <v>2276957</v>
      </c>
      <c r="G111" s="251">
        <f t="shared" ref="G111:H111" si="19">SUM(G112:G113)</f>
        <v>1296119</v>
      </c>
      <c r="H111" s="251">
        <f t="shared" si="19"/>
        <v>1296119</v>
      </c>
      <c r="I111" s="269" t="s">
        <v>32</v>
      </c>
      <c r="K111" s="235"/>
      <c r="L111" s="235"/>
    </row>
    <row r="112" spans="2:13" ht="77.25" customHeight="1" x14ac:dyDescent="0.25">
      <c r="B112" s="35" t="s">
        <v>225</v>
      </c>
      <c r="C112" s="25" t="s">
        <v>256</v>
      </c>
      <c r="D112" s="206">
        <v>851</v>
      </c>
      <c r="E112" s="248"/>
      <c r="F112" s="251">
        <f>'Утверждено (МЗ,ИЦ,КАП)'!I88+'Утверждено (МЗ,ИЦ,КАП)'!I89</f>
        <v>2276957</v>
      </c>
      <c r="G112" s="251">
        <f>'Утверждено (МЗ,ИЦ,КАП)'!J88+'Утверждено (МЗ,ИЦ,КАП)'!J89</f>
        <v>1296119</v>
      </c>
      <c r="H112" s="251">
        <f>'Утверждено (МЗ,ИЦ,КАП)'!K88+'Утверждено (МЗ,ИЦ,КАП)'!K89</f>
        <v>1296119</v>
      </c>
      <c r="I112" s="269" t="s">
        <v>32</v>
      </c>
      <c r="K112" s="235">
        <v>4</v>
      </c>
      <c r="L112" s="235">
        <v>291</v>
      </c>
      <c r="M112" s="2" t="s">
        <v>257</v>
      </c>
    </row>
    <row r="113" spans="2:13" ht="45" x14ac:dyDescent="0.25">
      <c r="B113" s="24" t="s">
        <v>229</v>
      </c>
      <c r="C113" s="25" t="s">
        <v>258</v>
      </c>
      <c r="D113" s="206">
        <v>851</v>
      </c>
      <c r="E113" s="248"/>
      <c r="F113" s="251"/>
      <c r="G113" s="251"/>
      <c r="H113" s="251"/>
      <c r="I113" s="269" t="s">
        <v>32</v>
      </c>
      <c r="K113" s="235">
        <v>2</v>
      </c>
      <c r="L113" s="235">
        <v>291</v>
      </c>
      <c r="M113" s="2" t="s">
        <v>257</v>
      </c>
    </row>
    <row r="114" spans="2:13" ht="45.75" customHeight="1" x14ac:dyDescent="0.25">
      <c r="B114" s="24" t="s">
        <v>94</v>
      </c>
      <c r="C114" s="25" t="s">
        <v>95</v>
      </c>
      <c r="D114" s="206">
        <v>852</v>
      </c>
      <c r="E114" s="248"/>
      <c r="F114" s="251">
        <f>SUM(F115:F116)</f>
        <v>0</v>
      </c>
      <c r="G114" s="251">
        <f t="shared" ref="G114:H114" si="20">SUM(G115:G116)</f>
        <v>0</v>
      </c>
      <c r="H114" s="251">
        <f t="shared" si="20"/>
        <v>0</v>
      </c>
      <c r="I114" s="269" t="s">
        <v>32</v>
      </c>
      <c r="K114" s="235"/>
      <c r="L114" s="235"/>
    </row>
    <row r="115" spans="2:13" ht="77.25" customHeight="1" x14ac:dyDescent="0.25">
      <c r="B115" s="35" t="s">
        <v>225</v>
      </c>
      <c r="C115" s="25" t="s">
        <v>259</v>
      </c>
      <c r="D115" s="206">
        <v>852</v>
      </c>
      <c r="E115" s="248"/>
      <c r="F115" s="251">
        <f>'Утверждено (МЗ,ИЦ,КАП)'!I86</f>
        <v>0</v>
      </c>
      <c r="G115" s="251">
        <f>'Утверждено (МЗ,ИЦ,КАП)'!J86</f>
        <v>0</v>
      </c>
      <c r="H115" s="251">
        <f>'Утверждено (МЗ,ИЦ,КАП)'!K86</f>
        <v>0</v>
      </c>
      <c r="I115" s="269" t="s">
        <v>32</v>
      </c>
      <c r="K115" s="235">
        <v>4</v>
      </c>
      <c r="L115" s="235">
        <v>291</v>
      </c>
      <c r="M115" s="2" t="s">
        <v>260</v>
      </c>
    </row>
    <row r="116" spans="2:13" ht="45" x14ac:dyDescent="0.25">
      <c r="B116" s="24" t="s">
        <v>229</v>
      </c>
      <c r="C116" s="25" t="s">
        <v>261</v>
      </c>
      <c r="D116" s="206">
        <v>852</v>
      </c>
      <c r="E116" s="248"/>
      <c r="F116" s="251"/>
      <c r="G116" s="251"/>
      <c r="H116" s="251"/>
      <c r="I116" s="269" t="s">
        <v>32</v>
      </c>
      <c r="K116" s="235">
        <v>2</v>
      </c>
      <c r="L116" s="235">
        <v>291</v>
      </c>
      <c r="M116" s="2" t="s">
        <v>260</v>
      </c>
    </row>
    <row r="117" spans="2:13" ht="30" x14ac:dyDescent="0.25">
      <c r="B117" s="24" t="s">
        <v>96</v>
      </c>
      <c r="C117" s="25" t="s">
        <v>97</v>
      </c>
      <c r="D117" s="206">
        <v>853</v>
      </c>
      <c r="E117" s="248"/>
      <c r="F117" s="251">
        <f>SUM(F118:F119)</f>
        <v>0</v>
      </c>
      <c r="G117" s="251">
        <f t="shared" ref="G117:H117" si="21">SUM(G118:G119)</f>
        <v>0</v>
      </c>
      <c r="H117" s="251">
        <f t="shared" si="21"/>
        <v>0</v>
      </c>
      <c r="I117" s="269" t="s">
        <v>32</v>
      </c>
      <c r="K117" s="235"/>
      <c r="L117" s="235"/>
    </row>
    <row r="118" spans="2:13" ht="77.25" customHeight="1" x14ac:dyDescent="0.25">
      <c r="B118" s="35" t="s">
        <v>225</v>
      </c>
      <c r="C118" s="25" t="s">
        <v>262</v>
      </c>
      <c r="D118" s="206">
        <v>853</v>
      </c>
      <c r="E118" s="248"/>
      <c r="F118" s="251">
        <f>'Утверждено (МЗ,ИЦ,КАП)'!I87</f>
        <v>0</v>
      </c>
      <c r="G118" s="251">
        <f>'Утверждено (МЗ,ИЦ,КАП)'!J87</f>
        <v>0</v>
      </c>
      <c r="H118" s="251">
        <f>'Утверждено (МЗ,ИЦ,КАП)'!K87</f>
        <v>0</v>
      </c>
      <c r="I118" s="269" t="s">
        <v>32</v>
      </c>
      <c r="K118" s="235">
        <v>4</v>
      </c>
      <c r="L118" s="235" t="s">
        <v>263</v>
      </c>
      <c r="M118" s="2" t="s">
        <v>264</v>
      </c>
    </row>
    <row r="119" spans="2:13" ht="45" x14ac:dyDescent="0.25">
      <c r="B119" s="24" t="s">
        <v>229</v>
      </c>
      <c r="C119" s="25" t="s">
        <v>265</v>
      </c>
      <c r="D119" s="206">
        <v>853</v>
      </c>
      <c r="E119" s="248"/>
      <c r="F119" s="251"/>
      <c r="G119" s="251"/>
      <c r="H119" s="251"/>
      <c r="I119" s="269" t="s">
        <v>32</v>
      </c>
      <c r="K119" s="235">
        <v>2</v>
      </c>
      <c r="L119" s="235" t="s">
        <v>263</v>
      </c>
      <c r="M119" s="2" t="s">
        <v>264</v>
      </c>
    </row>
    <row r="120" spans="2:13" ht="30" hidden="1" x14ac:dyDescent="0.25">
      <c r="B120" s="24" t="s">
        <v>98</v>
      </c>
      <c r="C120" s="25" t="s">
        <v>99</v>
      </c>
      <c r="D120" s="206" t="s">
        <v>32</v>
      </c>
      <c r="E120" s="248"/>
      <c r="F120" s="251">
        <f>SUM(F121,F125,F129)</f>
        <v>0</v>
      </c>
      <c r="G120" s="251">
        <f t="shared" ref="G120:H120" si="22">SUM(G121,G125,G129)</f>
        <v>0</v>
      </c>
      <c r="H120" s="251">
        <f t="shared" si="22"/>
        <v>0</v>
      </c>
      <c r="I120" s="269" t="s">
        <v>32</v>
      </c>
      <c r="K120" s="235"/>
      <c r="L120" s="235"/>
    </row>
    <row r="121" spans="2:13" ht="48" hidden="1" customHeight="1" x14ac:dyDescent="0.25">
      <c r="B121" s="24" t="s">
        <v>100</v>
      </c>
      <c r="C121" s="25" t="s">
        <v>101</v>
      </c>
      <c r="D121" s="206">
        <v>810</v>
      </c>
      <c r="E121" s="248"/>
      <c r="F121" s="251">
        <f>SUM(F122:F124)</f>
        <v>0</v>
      </c>
      <c r="G121" s="251">
        <f>SUM(G122:G124)</f>
        <v>0</v>
      </c>
      <c r="H121" s="251">
        <f>SUM(H122:H124)</f>
        <v>0</v>
      </c>
      <c r="I121" s="269" t="s">
        <v>32</v>
      </c>
      <c r="J121" s="1" t="s">
        <v>255</v>
      </c>
      <c r="K121" s="235"/>
      <c r="L121" s="235"/>
    </row>
    <row r="122" spans="2:13" ht="30" hidden="1" customHeight="1" x14ac:dyDescent="0.25">
      <c r="B122" s="24" t="s">
        <v>66</v>
      </c>
      <c r="C122" s="25"/>
      <c r="D122" s="206"/>
      <c r="E122" s="248"/>
      <c r="F122" s="251"/>
      <c r="G122" s="251"/>
      <c r="H122" s="251"/>
      <c r="I122" s="269"/>
      <c r="K122" s="235"/>
      <c r="L122" s="235"/>
    </row>
    <row r="123" spans="2:13" hidden="1" x14ac:dyDescent="0.25">
      <c r="B123" s="24"/>
      <c r="C123" s="25"/>
      <c r="D123" s="206"/>
      <c r="E123" s="248"/>
      <c r="F123" s="251"/>
      <c r="G123" s="251"/>
      <c r="H123" s="251"/>
      <c r="I123" s="269"/>
      <c r="K123" s="235"/>
      <c r="L123" s="235"/>
    </row>
    <row r="124" spans="2:13" hidden="1" x14ac:dyDescent="0.25">
      <c r="B124" s="24"/>
      <c r="C124" s="25"/>
      <c r="D124" s="206"/>
      <c r="E124" s="248"/>
      <c r="F124" s="251"/>
      <c r="G124" s="251"/>
      <c r="H124" s="251"/>
      <c r="I124" s="269"/>
      <c r="K124" s="235"/>
      <c r="L124" s="235"/>
    </row>
    <row r="125" spans="2:13" hidden="1" x14ac:dyDescent="0.25">
      <c r="B125" s="24" t="s">
        <v>102</v>
      </c>
      <c r="C125" s="25" t="s">
        <v>103</v>
      </c>
      <c r="D125" s="206">
        <v>862</v>
      </c>
      <c r="E125" s="248"/>
      <c r="F125" s="251">
        <f>SUM(F126:F128)</f>
        <v>0</v>
      </c>
      <c r="G125" s="251">
        <f>SUM(G126:G128)</f>
        <v>0</v>
      </c>
      <c r="H125" s="251">
        <f>SUM(H126:H128)</f>
        <v>0</v>
      </c>
      <c r="I125" s="269" t="s">
        <v>32</v>
      </c>
      <c r="J125" s="1" t="s">
        <v>255</v>
      </c>
      <c r="K125" s="235"/>
      <c r="L125" s="235"/>
    </row>
    <row r="126" spans="2:13" ht="30" hidden="1" customHeight="1" x14ac:dyDescent="0.25">
      <c r="B126" s="24" t="s">
        <v>66</v>
      </c>
      <c r="C126" s="25"/>
      <c r="D126" s="206"/>
      <c r="E126" s="248"/>
      <c r="F126" s="251"/>
      <c r="G126" s="251"/>
      <c r="H126" s="251"/>
      <c r="I126" s="269"/>
      <c r="K126" s="235"/>
      <c r="L126" s="235"/>
    </row>
    <row r="127" spans="2:13" hidden="1" x14ac:dyDescent="0.25">
      <c r="B127" s="24"/>
      <c r="C127" s="25"/>
      <c r="D127" s="206"/>
      <c r="E127" s="248"/>
      <c r="F127" s="251"/>
      <c r="G127" s="251"/>
      <c r="H127" s="251"/>
      <c r="I127" s="269"/>
      <c r="K127" s="235"/>
      <c r="L127" s="235"/>
    </row>
    <row r="128" spans="2:13" hidden="1" x14ac:dyDescent="0.25">
      <c r="B128" s="24"/>
      <c r="C128" s="25"/>
      <c r="D128" s="206"/>
      <c r="E128" s="248"/>
      <c r="F128" s="251"/>
      <c r="G128" s="251"/>
      <c r="H128" s="251"/>
      <c r="I128" s="269"/>
      <c r="K128" s="235"/>
      <c r="L128" s="235"/>
    </row>
    <row r="129" spans="2:13" ht="47.25" hidden="1" customHeight="1" x14ac:dyDescent="0.25">
      <c r="B129" s="24" t="s">
        <v>104</v>
      </c>
      <c r="C129" s="25" t="s">
        <v>105</v>
      </c>
      <c r="D129" s="206">
        <v>863</v>
      </c>
      <c r="E129" s="248"/>
      <c r="F129" s="251">
        <f>SUM(F130:F132)</f>
        <v>0</v>
      </c>
      <c r="G129" s="251">
        <f>SUM(G130:G132)</f>
        <v>0</v>
      </c>
      <c r="H129" s="251">
        <f>SUM(H130:H132)</f>
        <v>0</v>
      </c>
      <c r="I129" s="269" t="s">
        <v>32</v>
      </c>
      <c r="J129" s="1" t="s">
        <v>255</v>
      </c>
      <c r="K129" s="235"/>
      <c r="L129" s="235"/>
    </row>
    <row r="130" spans="2:13" ht="30" hidden="1" customHeight="1" x14ac:dyDescent="0.25">
      <c r="B130" s="24" t="s">
        <v>66</v>
      </c>
      <c r="C130" s="25"/>
      <c r="D130" s="206"/>
      <c r="E130" s="248"/>
      <c r="F130" s="251"/>
      <c r="G130" s="251"/>
      <c r="H130" s="251"/>
      <c r="I130" s="269"/>
      <c r="K130" s="235"/>
      <c r="L130" s="235"/>
    </row>
    <row r="131" spans="2:13" hidden="1" x14ac:dyDescent="0.25">
      <c r="B131" s="24"/>
      <c r="C131" s="25"/>
      <c r="D131" s="206"/>
      <c r="E131" s="248"/>
      <c r="F131" s="251"/>
      <c r="G131" s="251"/>
      <c r="H131" s="251"/>
      <c r="I131" s="269"/>
      <c r="K131" s="235"/>
      <c r="L131" s="235"/>
    </row>
    <row r="132" spans="2:13" hidden="1" x14ac:dyDescent="0.25">
      <c r="B132" s="24"/>
      <c r="C132" s="25"/>
      <c r="D132" s="206"/>
      <c r="E132" s="248"/>
      <c r="F132" s="251"/>
      <c r="G132" s="251"/>
      <c r="H132" s="251"/>
      <c r="I132" s="269"/>
      <c r="K132" s="235"/>
      <c r="L132" s="235"/>
    </row>
    <row r="133" spans="2:13" ht="30" x14ac:dyDescent="0.25">
      <c r="B133" s="24" t="s">
        <v>106</v>
      </c>
      <c r="C133" s="25" t="s">
        <v>107</v>
      </c>
      <c r="D133" s="206" t="s">
        <v>32</v>
      </c>
      <c r="E133" s="248"/>
      <c r="F133" s="251">
        <f>SUM(F134)</f>
        <v>0</v>
      </c>
      <c r="G133" s="251">
        <f t="shared" ref="G133:H133" si="23">SUM(G134)</f>
        <v>0</v>
      </c>
      <c r="H133" s="251">
        <f t="shared" si="23"/>
        <v>0</v>
      </c>
      <c r="I133" s="269" t="s">
        <v>32</v>
      </c>
      <c r="K133" s="235"/>
      <c r="L133" s="235"/>
    </row>
    <row r="134" spans="2:13" ht="60" customHeight="1" x14ac:dyDescent="0.25">
      <c r="B134" s="24" t="s">
        <v>108</v>
      </c>
      <c r="C134" s="25" t="s">
        <v>109</v>
      </c>
      <c r="D134" s="206">
        <v>831</v>
      </c>
      <c r="E134" s="248"/>
      <c r="F134" s="251">
        <f>SUM(F135:F136)</f>
        <v>0</v>
      </c>
      <c r="G134" s="251">
        <f t="shared" ref="G134:H134" si="24">SUM(G135:G136)</f>
        <v>0</v>
      </c>
      <c r="H134" s="251">
        <f t="shared" si="24"/>
        <v>0</v>
      </c>
      <c r="I134" s="269" t="s">
        <v>32</v>
      </c>
      <c r="K134" s="235"/>
      <c r="L134" s="235"/>
    </row>
    <row r="135" spans="2:13" ht="72.599999999999994" customHeight="1" x14ac:dyDescent="0.25">
      <c r="B135" s="35" t="s">
        <v>266</v>
      </c>
      <c r="C135" s="25" t="s">
        <v>267</v>
      </c>
      <c r="D135" s="206"/>
      <c r="E135" s="248"/>
      <c r="F135" s="251"/>
      <c r="G135" s="251"/>
      <c r="H135" s="251"/>
      <c r="I135" s="269" t="s">
        <v>32</v>
      </c>
      <c r="K135" s="235">
        <v>4</v>
      </c>
      <c r="L135" s="235" t="s">
        <v>268</v>
      </c>
      <c r="M135" s="2" t="s">
        <v>269</v>
      </c>
    </row>
    <row r="136" spans="2:13" ht="45" x14ac:dyDescent="0.25">
      <c r="B136" s="24" t="s">
        <v>270</v>
      </c>
      <c r="C136" s="25" t="s">
        <v>271</v>
      </c>
      <c r="D136" s="206"/>
      <c r="E136" s="248"/>
      <c r="F136" s="251"/>
      <c r="G136" s="251"/>
      <c r="H136" s="251"/>
      <c r="I136" s="269" t="s">
        <v>32</v>
      </c>
      <c r="K136" s="235">
        <v>2</v>
      </c>
      <c r="L136" s="235" t="s">
        <v>268</v>
      </c>
      <c r="M136" s="2" t="s">
        <v>269</v>
      </c>
    </row>
    <row r="137" spans="2:13" ht="15" customHeight="1" x14ac:dyDescent="0.25">
      <c r="B137" s="24" t="s">
        <v>111</v>
      </c>
      <c r="C137" s="25" t="s">
        <v>112</v>
      </c>
      <c r="D137" s="206" t="s">
        <v>32</v>
      </c>
      <c r="E137" s="248"/>
      <c r="F137" s="251">
        <f>SUM(F138,F142,F144,F162)</f>
        <v>17490350.109999999</v>
      </c>
      <c r="G137" s="251">
        <f t="shared" ref="G137:I137" si="25">SUM(G138,G142,G144,G162)</f>
        <v>11200981.25</v>
      </c>
      <c r="H137" s="251">
        <f t="shared" si="25"/>
        <v>11200981.25</v>
      </c>
      <c r="I137" s="226">
        <f t="shared" si="25"/>
        <v>0</v>
      </c>
      <c r="K137" s="235"/>
      <c r="L137" s="235"/>
    </row>
    <row r="138" spans="2:13" ht="45" x14ac:dyDescent="0.25">
      <c r="B138" s="24" t="s">
        <v>113</v>
      </c>
      <c r="C138" s="25" t="s">
        <v>114</v>
      </c>
      <c r="D138" s="206">
        <v>241</v>
      </c>
      <c r="E138" s="248"/>
      <c r="F138" s="251">
        <f>SUM(F139:F141)</f>
        <v>0</v>
      </c>
      <c r="G138" s="251">
        <f t="shared" ref="G138:I138" si="26">SUM(G139:G141)</f>
        <v>0</v>
      </c>
      <c r="H138" s="251">
        <f t="shared" si="26"/>
        <v>0</v>
      </c>
      <c r="I138" s="226">
        <f t="shared" si="26"/>
        <v>0</v>
      </c>
      <c r="K138" s="235"/>
      <c r="L138" s="235"/>
    </row>
    <row r="139" spans="2:13" ht="75" customHeight="1" x14ac:dyDescent="0.25">
      <c r="B139" s="35" t="s">
        <v>225</v>
      </c>
      <c r="C139" s="25" t="s">
        <v>272</v>
      </c>
      <c r="D139" s="206">
        <v>241</v>
      </c>
      <c r="E139" s="248"/>
      <c r="F139" s="251"/>
      <c r="G139" s="251"/>
      <c r="H139" s="251"/>
      <c r="I139" s="269"/>
      <c r="K139" s="235">
        <v>4</v>
      </c>
      <c r="L139" s="235"/>
    </row>
    <row r="140" spans="2:13" ht="45" x14ac:dyDescent="0.25">
      <c r="B140" s="24" t="s">
        <v>229</v>
      </c>
      <c r="C140" s="25" t="s">
        <v>273</v>
      </c>
      <c r="D140" s="206">
        <v>241</v>
      </c>
      <c r="E140" s="248"/>
      <c r="F140" s="251"/>
      <c r="G140" s="251"/>
      <c r="H140" s="251"/>
      <c r="I140" s="269"/>
      <c r="K140" s="235">
        <v>2</v>
      </c>
      <c r="L140" s="235"/>
    </row>
    <row r="141" spans="2:13" x14ac:dyDescent="0.25">
      <c r="B141" s="24" t="s">
        <v>231</v>
      </c>
      <c r="C141" s="25" t="s">
        <v>274</v>
      </c>
      <c r="D141" s="206">
        <v>241</v>
      </c>
      <c r="E141" s="248"/>
      <c r="F141" s="251"/>
      <c r="G141" s="251"/>
      <c r="H141" s="251"/>
      <c r="I141" s="269"/>
      <c r="K141" s="235">
        <v>5</v>
      </c>
      <c r="L141" s="235"/>
    </row>
    <row r="142" spans="2:13" ht="45" x14ac:dyDescent="0.25">
      <c r="B142" s="24" t="s">
        <v>115</v>
      </c>
      <c r="C142" s="25" t="s">
        <v>116</v>
      </c>
      <c r="D142" s="206">
        <v>243</v>
      </c>
      <c r="E142" s="248"/>
      <c r="F142" s="251">
        <f>SUM(F143)</f>
        <v>0</v>
      </c>
      <c r="G142" s="251">
        <f t="shared" ref="G142:I142" si="27">SUM(G143)</f>
        <v>0</v>
      </c>
      <c r="H142" s="251">
        <f t="shared" si="27"/>
        <v>0</v>
      </c>
      <c r="I142" s="226">
        <f t="shared" si="27"/>
        <v>0</v>
      </c>
      <c r="K142" s="235"/>
      <c r="L142" s="235"/>
    </row>
    <row r="143" spans="2:13" ht="30" customHeight="1" x14ac:dyDescent="0.25">
      <c r="B143" s="35" t="s">
        <v>250</v>
      </c>
      <c r="C143" s="25" t="s">
        <v>275</v>
      </c>
      <c r="D143" s="206">
        <v>243</v>
      </c>
      <c r="E143" s="248"/>
      <c r="F143" s="251"/>
      <c r="G143" s="251"/>
      <c r="H143" s="251"/>
      <c r="I143" s="269"/>
      <c r="K143" s="235">
        <v>5</v>
      </c>
      <c r="L143" s="245" t="s">
        <v>276</v>
      </c>
    </row>
    <row r="144" spans="2:13" x14ac:dyDescent="0.25">
      <c r="B144" s="24" t="s">
        <v>117</v>
      </c>
      <c r="C144" s="25" t="s">
        <v>118</v>
      </c>
      <c r="D144" s="206">
        <v>244</v>
      </c>
      <c r="E144" s="248"/>
      <c r="F144" s="251">
        <f>SUM(F145,F149,F153)</f>
        <v>13578341.41</v>
      </c>
      <c r="G144" s="251">
        <f t="shared" ref="G144:I144" si="28">SUM(G145,G149,G153)</f>
        <v>8897771.25</v>
      </c>
      <c r="H144" s="251">
        <f t="shared" si="28"/>
        <v>8897771.25</v>
      </c>
      <c r="I144" s="226">
        <f t="shared" si="28"/>
        <v>0</v>
      </c>
      <c r="K144" s="235"/>
      <c r="L144" s="235"/>
    </row>
    <row r="145" spans="2:13" ht="72.75" customHeight="1" x14ac:dyDescent="0.25">
      <c r="B145" s="35" t="s">
        <v>277</v>
      </c>
      <c r="C145" s="25" t="s">
        <v>278</v>
      </c>
      <c r="D145" s="206">
        <v>244</v>
      </c>
      <c r="E145" s="248"/>
      <c r="F145" s="251">
        <f>SUM(F146:F148)</f>
        <v>4677151.76</v>
      </c>
      <c r="G145" s="251">
        <f t="shared" ref="G145:I145" si="29">SUM(G146:G148)</f>
        <v>2294892.25</v>
      </c>
      <c r="H145" s="251">
        <f t="shared" si="29"/>
        <v>2294892.25</v>
      </c>
      <c r="I145" s="226">
        <f t="shared" si="29"/>
        <v>0</v>
      </c>
      <c r="K145" s="235"/>
      <c r="L145" s="235"/>
    </row>
    <row r="146" spans="2:13" ht="30" x14ac:dyDescent="0.25">
      <c r="B146" s="54" t="s">
        <v>279</v>
      </c>
      <c r="C146" s="25"/>
      <c r="D146" s="206">
        <v>244</v>
      </c>
      <c r="E146" s="248"/>
      <c r="F146" s="283">
        <f>'Утверждено (МЗ,ИЦ,КАП)'!I13+'Утверждено (МЗ,ИЦ,КАП)'!I16+'Утверждено (МЗ,ИЦ,КАП)'!I17+'Утверждено (МЗ,ИЦ,КАП)'!I19+'Утверждено (МЗ,ИЦ,КАП)'!I20+'Утверждено (МЗ,ИЦ,КАП)'!I21+'Утверждено (МЗ,ИЦ,КАП)'!I57+'Утверждено (МЗ,ИЦ,КАП)'!I60+'Утверждено (МЗ,ИЦ,КАП)'!I104+'Утверждено (МЗ,ИЦ,КАП)'!I111+'Утверждено (МЗ,ИЦ,КАП)'!I120+'Утверждено (МЗ,ИЦ,КАП)'!I122+'Утверждено (МЗ,ИЦ,КАП)'!I128+'Утверждено (МЗ,ИЦ,КАП)'!I160+'Утверждено (МЗ,ИЦ,КАП)'!I161+'Утверждено (МЗ,ИЦ,КАП)'!L17</f>
        <v>3168531.76</v>
      </c>
      <c r="G146" s="251">
        <f>'Утверждено (МЗ,ИЦ,КАП)'!J13+'Утверждено (МЗ,ИЦ,КАП)'!J16+'Утверждено (МЗ,ИЦ,КАП)'!J17+'Утверждено (МЗ,ИЦ,КАП)'!J19+'Утверждено (МЗ,ИЦ,КАП)'!J20+'Утверждено (МЗ,ИЦ,КАП)'!J21+'Утверждено (МЗ,ИЦ,КАП)'!J57+'Утверждено (МЗ,ИЦ,КАП)'!J60+'Утверждено (МЗ,ИЦ,КАП)'!J104+'Утверждено (МЗ,ИЦ,КАП)'!J111+'Утверждено (МЗ,ИЦ,КАП)'!J120+'Утверждено (МЗ,ИЦ,КАП)'!J122+'Утверждено (МЗ,ИЦ,КАП)'!J128+'Утверждено (МЗ,ИЦ,КАП)'!J160+'Утверждено (МЗ,ИЦ,КАП)'!J161</f>
        <v>1870216.25</v>
      </c>
      <c r="H146" s="251">
        <f>'Утверждено (МЗ,ИЦ,КАП)'!K13+'Утверждено (МЗ,ИЦ,КАП)'!K16+'Утверждено (МЗ,ИЦ,КАП)'!K17+'Утверждено (МЗ,ИЦ,КАП)'!K19+'Утверждено (МЗ,ИЦ,КАП)'!K20+'Утверждено (МЗ,ИЦ,КАП)'!K21+'Утверждено (МЗ,ИЦ,КАП)'!K57+'Утверждено (МЗ,ИЦ,КАП)'!K60+'Утверждено (МЗ,ИЦ,КАП)'!K104+'Утверждено (МЗ,ИЦ,КАП)'!K111+'Утверждено (МЗ,ИЦ,КАП)'!K120+'Утверждено (МЗ,ИЦ,КАП)'!K122+'Утверждено (МЗ,ИЦ,КАП)'!K128+'Утверждено (МЗ,ИЦ,КАП)'!K160+'Утверждено (МЗ,ИЦ,КАП)'!K161</f>
        <v>1870216.25</v>
      </c>
      <c r="I146" s="226"/>
      <c r="K146" s="235">
        <v>4</v>
      </c>
      <c r="L146" s="235">
        <v>220</v>
      </c>
    </row>
    <row r="147" spans="2:13" x14ac:dyDescent="0.25">
      <c r="B147" s="54" t="s">
        <v>280</v>
      </c>
      <c r="C147" s="25"/>
      <c r="D147" s="206">
        <v>244</v>
      </c>
      <c r="E147" s="248"/>
      <c r="F147" s="283">
        <f>'Утверждено (МЗ,ИЦ,КАП)'!I90+'Утверждено (МЗ,ИЦ,КАП)'!I137</f>
        <v>94920</v>
      </c>
      <c r="G147" s="251">
        <f>'Утверждено (МЗ,ИЦ,КАП)'!J90+'Утверждено (МЗ,ИЦ,КАП)'!J137</f>
        <v>84220</v>
      </c>
      <c r="H147" s="251">
        <f>'Утверждено (МЗ,ИЦ,КАП)'!K90+'Утверждено (МЗ,ИЦ,КАП)'!K137</f>
        <v>84220</v>
      </c>
      <c r="I147" s="226"/>
      <c r="K147" s="235">
        <v>4</v>
      </c>
      <c r="L147" s="235">
        <v>310</v>
      </c>
    </row>
    <row r="148" spans="2:13" ht="15" customHeight="1" x14ac:dyDescent="0.25">
      <c r="B148" s="54" t="s">
        <v>281</v>
      </c>
      <c r="C148" s="25"/>
      <c r="D148" s="206">
        <v>244</v>
      </c>
      <c r="E148" s="248"/>
      <c r="F148" s="283">
        <f>'Утверждено (МЗ,ИЦ,КАП)'!I91+'Утверждено (МЗ,ИЦ,КАП)'!I145</f>
        <v>1413700</v>
      </c>
      <c r="G148" s="251">
        <f>'Утверждено (МЗ,ИЦ,КАП)'!J91+'Утверждено (МЗ,ИЦ,КАП)'!J145</f>
        <v>340456</v>
      </c>
      <c r="H148" s="251">
        <f>'Утверждено (МЗ,ИЦ,КАП)'!K91+'Утверждено (МЗ,ИЦ,КАП)'!K145</f>
        <v>340456</v>
      </c>
      <c r="I148" s="226"/>
      <c r="K148" s="235">
        <v>4</v>
      </c>
      <c r="L148" s="235">
        <v>340</v>
      </c>
    </row>
    <row r="149" spans="2:13" ht="45" x14ac:dyDescent="0.25">
      <c r="B149" s="24" t="s">
        <v>206</v>
      </c>
      <c r="C149" s="25" t="s">
        <v>282</v>
      </c>
      <c r="D149" s="206"/>
      <c r="E149" s="248"/>
      <c r="F149" s="251">
        <f>SUM(F150:F152)</f>
        <v>7270305.9499999993</v>
      </c>
      <c r="G149" s="251">
        <f t="shared" ref="G149:I149" si="30">SUM(G150:G152)</f>
        <v>6602879</v>
      </c>
      <c r="H149" s="251">
        <f t="shared" si="30"/>
        <v>6602879</v>
      </c>
      <c r="I149" s="226">
        <f t="shared" si="30"/>
        <v>0</v>
      </c>
      <c r="K149" s="235"/>
      <c r="L149" s="235"/>
    </row>
    <row r="150" spans="2:13" ht="30" x14ac:dyDescent="0.25">
      <c r="B150" s="54" t="s">
        <v>279</v>
      </c>
      <c r="C150" s="25"/>
      <c r="D150" s="206">
        <v>244</v>
      </c>
      <c r="E150" s="248"/>
      <c r="F150" s="281">
        <f>'Утверждено (ПДД)'!D58+'Утверждено (ПДД)'!D61+'Утверждено (ПДД)'!D62+'Утверждено (ПДД)'!D65+'Утверждено (ПДД)'!D81</f>
        <v>202607.28999999998</v>
      </c>
      <c r="G150" s="251">
        <v>109506</v>
      </c>
      <c r="H150" s="251">
        <v>109506</v>
      </c>
      <c r="I150" s="226"/>
      <c r="K150" s="235">
        <v>2</v>
      </c>
      <c r="L150" s="235">
        <v>220</v>
      </c>
    </row>
    <row r="151" spans="2:13" x14ac:dyDescent="0.25">
      <c r="B151" s="54" t="s">
        <v>280</v>
      </c>
      <c r="C151" s="25"/>
      <c r="D151" s="206">
        <v>244</v>
      </c>
      <c r="E151" s="248"/>
      <c r="F151" s="281">
        <f>'Утверждено (ПДД)'!D97</f>
        <v>1332.65</v>
      </c>
      <c r="G151" s="251">
        <v>27770</v>
      </c>
      <c r="H151" s="251">
        <v>27770</v>
      </c>
      <c r="I151" s="226"/>
      <c r="K151" s="235">
        <v>2</v>
      </c>
      <c r="L151" s="235">
        <v>310</v>
      </c>
      <c r="M151" s="242" t="s">
        <v>699</v>
      </c>
    </row>
    <row r="152" spans="2:13" ht="15" customHeight="1" x14ac:dyDescent="0.25">
      <c r="B152" s="54" t="s">
        <v>281</v>
      </c>
      <c r="C152" s="25"/>
      <c r="D152" s="206">
        <v>244</v>
      </c>
      <c r="E152" s="248"/>
      <c r="F152" s="281">
        <f>'Утверждено (ПДД)'!D98</f>
        <v>7066366.0099999988</v>
      </c>
      <c r="G152" s="251">
        <v>6465603</v>
      </c>
      <c r="H152" s="251">
        <v>6465603</v>
      </c>
      <c r="I152" s="226"/>
      <c r="K152" s="235">
        <v>2</v>
      </c>
      <c r="L152" s="235">
        <v>340</v>
      </c>
      <c r="M152" s="242" t="s">
        <v>700</v>
      </c>
    </row>
    <row r="153" spans="2:13" ht="15" customHeight="1" x14ac:dyDescent="0.25">
      <c r="B153" s="54" t="s">
        <v>283</v>
      </c>
      <c r="C153" s="25"/>
      <c r="D153" s="206"/>
      <c r="E153" s="248"/>
      <c r="F153" s="251">
        <f>SUM(F154:F156)</f>
        <v>1630883.7000000002</v>
      </c>
      <c r="G153" s="251">
        <f t="shared" ref="G153:I153" si="31">SUM(G154:G156)</f>
        <v>0</v>
      </c>
      <c r="H153" s="251">
        <f t="shared" si="31"/>
        <v>0</v>
      </c>
      <c r="I153" s="226">
        <f t="shared" si="31"/>
        <v>0</v>
      </c>
      <c r="K153" s="235"/>
      <c r="L153" s="235"/>
    </row>
    <row r="154" spans="2:13" ht="30" x14ac:dyDescent="0.25">
      <c r="B154" s="54" t="s">
        <v>279</v>
      </c>
      <c r="C154" s="25"/>
      <c r="D154" s="206">
        <v>244</v>
      </c>
      <c r="E154" s="248"/>
      <c r="F154" s="282">
        <f>'Утверждено (МЗ,ИЦ,КАП)'!F202+'Утверждено (МЗ,ИЦ,КАП)'!F240+'Утверждено (МЗ,ИЦ,КАП)'!F241+'Утверждено (МЗ,ИЦ,КАП)'!F216+'Утверждено (МЗ,ИЦ,КАП)'!F212+'Утверждено (МЗ,ИЦ,КАП)'!F211+'Утверждено (МЗ,ИЦ,КАП)'!F244+'Утверждено (МЗ,ИЦ,КАП)'!I217+'Утверждено (МЗ,ИЦ,КАП)'!I218+'Утверждено (МЗ,ИЦ,КАП)'!F205</f>
        <v>1257316.05</v>
      </c>
      <c r="G154" s="251">
        <f>'Утверждено (МЗ,ИЦ,КАП)'!J197</f>
        <v>0</v>
      </c>
      <c r="H154" s="251">
        <f>'Утверждено (МЗ,ИЦ,КАП)'!K197</f>
        <v>0</v>
      </c>
      <c r="I154" s="226"/>
      <c r="K154" s="235">
        <v>5</v>
      </c>
      <c r="L154" s="235">
        <v>220</v>
      </c>
    </row>
    <row r="155" spans="2:13" x14ac:dyDescent="0.25">
      <c r="B155" s="54" t="s">
        <v>280</v>
      </c>
      <c r="C155" s="25"/>
      <c r="D155" s="206">
        <v>244</v>
      </c>
      <c r="E155" s="206"/>
      <c r="F155" s="282">
        <f>+'Утверждено (МЗ,ИЦ,КАП)'!I204</f>
        <v>226729.27</v>
      </c>
      <c r="G155" s="251"/>
      <c r="H155" s="251"/>
      <c r="I155" s="226"/>
      <c r="K155" s="235">
        <v>5</v>
      </c>
      <c r="L155" s="235">
        <v>310</v>
      </c>
    </row>
    <row r="156" spans="2:13" ht="15" customHeight="1" x14ac:dyDescent="0.25">
      <c r="B156" s="54" t="s">
        <v>281</v>
      </c>
      <c r="C156" s="25"/>
      <c r="D156" s="206">
        <v>244</v>
      </c>
      <c r="E156" s="206"/>
      <c r="F156" s="282">
        <f>'Утверждено (МЗ,ИЦ,КАП)'!F200+'Утверждено (МЗ,ИЦ,КАП)'!F201+'Утверждено (МЗ,ИЦ,КАП)'!F236+'Утверждено (МЗ,ИЦ,КАП)'!F199</f>
        <v>146838.38</v>
      </c>
      <c r="G156" s="226"/>
      <c r="H156" s="226"/>
      <c r="I156" s="226"/>
      <c r="K156" s="235">
        <v>5</v>
      </c>
      <c r="L156" s="235">
        <v>340</v>
      </c>
    </row>
    <row r="157" spans="2:13" ht="30" x14ac:dyDescent="0.25">
      <c r="B157" s="24" t="s">
        <v>120</v>
      </c>
      <c r="C157" s="25" t="s">
        <v>121</v>
      </c>
      <c r="D157" s="206">
        <v>400</v>
      </c>
      <c r="E157" s="206"/>
      <c r="F157" s="226">
        <f>SUM(F158,F160)</f>
        <v>0</v>
      </c>
      <c r="G157" s="226">
        <f t="shared" ref="G157:I157" si="32">SUM(G158,G160)</f>
        <v>0</v>
      </c>
      <c r="H157" s="226">
        <f t="shared" si="32"/>
        <v>0</v>
      </c>
      <c r="I157" s="226">
        <f t="shared" si="32"/>
        <v>0</v>
      </c>
      <c r="K157" s="235"/>
      <c r="L157" s="235"/>
    </row>
    <row r="158" spans="2:13" ht="45" x14ac:dyDescent="0.25">
      <c r="B158" s="24" t="s">
        <v>122</v>
      </c>
      <c r="C158" s="25" t="s">
        <v>123</v>
      </c>
      <c r="D158" s="206">
        <v>406</v>
      </c>
      <c r="E158" s="206"/>
      <c r="F158" s="226">
        <f>SUM(F159)</f>
        <v>0</v>
      </c>
      <c r="G158" s="226">
        <f t="shared" ref="G158:I158" si="33">SUM(G159)</f>
        <v>0</v>
      </c>
      <c r="H158" s="226">
        <f t="shared" si="33"/>
        <v>0</v>
      </c>
      <c r="I158" s="226">
        <f t="shared" si="33"/>
        <v>0</v>
      </c>
      <c r="K158" s="235"/>
      <c r="L158" s="235"/>
    </row>
    <row r="159" spans="2:13" ht="45" customHeight="1" x14ac:dyDescent="0.25">
      <c r="B159" s="24" t="s">
        <v>284</v>
      </c>
      <c r="C159" s="25"/>
      <c r="D159" s="206"/>
      <c r="E159" s="206"/>
      <c r="F159" s="226"/>
      <c r="G159" s="226"/>
      <c r="H159" s="226"/>
      <c r="I159" s="226"/>
      <c r="K159" s="235"/>
      <c r="L159" s="235"/>
    </row>
    <row r="160" spans="2:13" ht="45" x14ac:dyDescent="0.25">
      <c r="B160" s="24" t="s">
        <v>124</v>
      </c>
      <c r="C160" s="25" t="s">
        <v>125</v>
      </c>
      <c r="D160" s="206">
        <v>407</v>
      </c>
      <c r="E160" s="206"/>
      <c r="F160" s="226">
        <f>SUM(F161)</f>
        <v>0</v>
      </c>
      <c r="G160" s="226">
        <f t="shared" ref="G160:I160" si="34">SUM(G161)</f>
        <v>0</v>
      </c>
      <c r="H160" s="226">
        <f t="shared" si="34"/>
        <v>0</v>
      </c>
      <c r="I160" s="226">
        <f t="shared" si="34"/>
        <v>0</v>
      </c>
      <c r="K160" s="235"/>
      <c r="L160" s="235"/>
    </row>
    <row r="161" spans="1:14" ht="45" customHeight="1" x14ac:dyDescent="0.25">
      <c r="B161" s="24" t="s">
        <v>284</v>
      </c>
      <c r="C161" s="25"/>
      <c r="D161" s="206"/>
      <c r="E161" s="206"/>
      <c r="F161" s="226"/>
      <c r="G161" s="226"/>
      <c r="H161" s="226"/>
      <c r="I161" s="269"/>
      <c r="K161" s="235"/>
      <c r="L161" s="235"/>
    </row>
    <row r="162" spans="1:14" x14ac:dyDescent="0.25">
      <c r="B162" s="24" t="s">
        <v>660</v>
      </c>
      <c r="C162" s="25" t="s">
        <v>661</v>
      </c>
      <c r="D162" s="206">
        <v>247</v>
      </c>
      <c r="E162" s="206"/>
      <c r="F162" s="226">
        <f>SUM(F163:F165)</f>
        <v>3912008.7</v>
      </c>
      <c r="G162" s="226">
        <f t="shared" ref="G162:I162" si="35">SUM(G163:G165)</f>
        <v>2303210</v>
      </c>
      <c r="H162" s="226">
        <f t="shared" si="35"/>
        <v>2303210</v>
      </c>
      <c r="I162" s="226">
        <f t="shared" si="35"/>
        <v>0</v>
      </c>
      <c r="K162" s="235"/>
      <c r="L162" s="235"/>
      <c r="M162" s="239" t="s">
        <v>662</v>
      </c>
      <c r="N162" s="1" t="s">
        <v>663</v>
      </c>
    </row>
    <row r="163" spans="1:14" ht="75" customHeight="1" x14ac:dyDescent="0.25">
      <c r="B163" s="35" t="s">
        <v>225</v>
      </c>
      <c r="C163" s="25" t="s">
        <v>664</v>
      </c>
      <c r="D163" s="206">
        <v>247</v>
      </c>
      <c r="E163" s="206"/>
      <c r="F163" s="251">
        <f>'Утверждено (МЗ,ИЦ,КАП)'!I18+'Утверждено (МЗ,ИЦ,КАП)'!L18</f>
        <v>3895978.7</v>
      </c>
      <c r="G163" s="226">
        <f>'Утверждено (МЗ,ИЦ,КАП)'!J18</f>
        <v>2290440</v>
      </c>
      <c r="H163" s="226">
        <f>'Утверждено (МЗ,ИЦ,КАП)'!K18</f>
        <v>2290440</v>
      </c>
      <c r="I163" s="269"/>
      <c r="K163" s="235">
        <v>4</v>
      </c>
      <c r="L163" s="235"/>
    </row>
    <row r="164" spans="1:14" ht="45" x14ac:dyDescent="0.25">
      <c r="B164" s="24" t="s">
        <v>229</v>
      </c>
      <c r="C164" s="25" t="s">
        <v>665</v>
      </c>
      <c r="D164" s="206">
        <v>247</v>
      </c>
      <c r="E164" s="206"/>
      <c r="F164" s="281">
        <f>'Утверждено (ПДД)'!D63</f>
        <v>16030</v>
      </c>
      <c r="G164" s="251">
        <v>12770</v>
      </c>
      <c r="H164" s="251">
        <v>12770</v>
      </c>
      <c r="I164" s="269"/>
      <c r="K164" s="235">
        <v>2</v>
      </c>
      <c r="L164" s="235"/>
    </row>
    <row r="165" spans="1:14" x14ac:dyDescent="0.25">
      <c r="B165" s="24" t="s">
        <v>231</v>
      </c>
      <c r="C165" s="25" t="s">
        <v>666</v>
      </c>
      <c r="D165" s="206">
        <v>247</v>
      </c>
      <c r="E165" s="206"/>
      <c r="F165" s="226"/>
      <c r="G165" s="226"/>
      <c r="H165" s="226"/>
      <c r="I165" s="269"/>
      <c r="K165" s="235">
        <v>5</v>
      </c>
      <c r="L165" s="235"/>
    </row>
    <row r="166" spans="1:14" s="28" customFormat="1" ht="14.25" x14ac:dyDescent="0.2">
      <c r="B166" s="29" t="s">
        <v>126</v>
      </c>
      <c r="C166" s="30" t="s">
        <v>127</v>
      </c>
      <c r="D166" s="31">
        <v>100</v>
      </c>
      <c r="E166" s="31"/>
      <c r="F166" s="268">
        <f>SUM(F167:F169)</f>
        <v>-33</v>
      </c>
      <c r="G166" s="268">
        <f t="shared" ref="G166:H166" si="36">SUM(G167:G169)</f>
        <v>0</v>
      </c>
      <c r="H166" s="268">
        <f t="shared" si="36"/>
        <v>0</v>
      </c>
      <c r="I166" s="270" t="s">
        <v>32</v>
      </c>
      <c r="K166" s="243"/>
      <c r="L166" s="243"/>
      <c r="M166" s="233"/>
    </row>
    <row r="167" spans="1:14" ht="30" x14ac:dyDescent="0.25">
      <c r="B167" s="24" t="s">
        <v>128</v>
      </c>
      <c r="C167" s="25" t="s">
        <v>129</v>
      </c>
      <c r="D167" s="206">
        <v>189</v>
      </c>
      <c r="E167" s="206"/>
      <c r="F167" s="226"/>
      <c r="G167" s="226"/>
      <c r="H167" s="226"/>
      <c r="I167" s="269" t="s">
        <v>32</v>
      </c>
      <c r="K167" s="235">
        <v>2</v>
      </c>
      <c r="L167" s="235"/>
      <c r="M167" s="2" t="s">
        <v>285</v>
      </c>
    </row>
    <row r="168" spans="1:14" x14ac:dyDescent="0.25">
      <c r="B168" s="24" t="s">
        <v>130</v>
      </c>
      <c r="C168" s="25" t="s">
        <v>131</v>
      </c>
      <c r="D168" s="206">
        <v>189</v>
      </c>
      <c r="E168" s="206"/>
      <c r="F168" s="226">
        <f>'Утверждено (ПДД)'!D42</f>
        <v>-33</v>
      </c>
      <c r="G168" s="226"/>
      <c r="H168" s="226"/>
      <c r="I168" s="269" t="s">
        <v>32</v>
      </c>
      <c r="K168" s="235">
        <v>2</v>
      </c>
      <c r="L168" s="235"/>
      <c r="M168" s="2" t="s">
        <v>285</v>
      </c>
    </row>
    <row r="169" spans="1:14" x14ac:dyDescent="0.25">
      <c r="B169" s="24" t="s">
        <v>132</v>
      </c>
      <c r="C169" s="25" t="s">
        <v>133</v>
      </c>
      <c r="D169" s="206"/>
      <c r="E169" s="206"/>
      <c r="F169" s="226"/>
      <c r="G169" s="226"/>
      <c r="H169" s="226"/>
      <c r="I169" s="269" t="s">
        <v>32</v>
      </c>
      <c r="K169" s="235"/>
      <c r="L169" s="235"/>
    </row>
    <row r="170" spans="1:14" s="28" customFormat="1" x14ac:dyDescent="0.25">
      <c r="B170" s="29" t="s">
        <v>134</v>
      </c>
      <c r="C170" s="30" t="s">
        <v>135</v>
      </c>
      <c r="D170" s="31" t="s">
        <v>32</v>
      </c>
      <c r="E170" s="31"/>
      <c r="F170" s="267">
        <v>0</v>
      </c>
      <c r="G170" s="268">
        <f t="shared" ref="G170:H170" si="37">G75</f>
        <v>0</v>
      </c>
      <c r="H170" s="268">
        <f t="shared" si="37"/>
        <v>0</v>
      </c>
      <c r="I170" s="270" t="s">
        <v>32</v>
      </c>
      <c r="K170" s="235" t="s">
        <v>222</v>
      </c>
      <c r="L170" s="235"/>
      <c r="M170" s="5" t="s">
        <v>286</v>
      </c>
    </row>
    <row r="171" spans="1:14" ht="30" x14ac:dyDescent="0.25">
      <c r="B171" s="24" t="s">
        <v>136</v>
      </c>
      <c r="C171" s="25" t="s">
        <v>137</v>
      </c>
      <c r="D171" s="206">
        <v>610</v>
      </c>
      <c r="E171" s="206">
        <v>610</v>
      </c>
      <c r="F171" s="226"/>
      <c r="G171" s="226"/>
      <c r="H171" s="226"/>
      <c r="I171" s="269" t="s">
        <v>32</v>
      </c>
      <c r="K171" s="235" t="s">
        <v>222</v>
      </c>
      <c r="L171" s="235"/>
      <c r="M171" s="2" t="s">
        <v>287</v>
      </c>
    </row>
    <row r="172" spans="1:14" x14ac:dyDescent="0.25">
      <c r="K172" s="235"/>
      <c r="L172" s="235"/>
    </row>
    <row r="173" spans="1:14" x14ac:dyDescent="0.25">
      <c r="K173" s="235"/>
      <c r="L173" s="235"/>
    </row>
    <row r="174" spans="1:14" x14ac:dyDescent="0.25">
      <c r="B174" s="307" t="s">
        <v>138</v>
      </c>
      <c r="C174" s="307"/>
      <c r="D174" s="307"/>
      <c r="E174" s="307"/>
      <c r="F174" s="307"/>
      <c r="G174" s="307"/>
      <c r="H174" s="307"/>
      <c r="I174" s="307"/>
      <c r="K174" s="235"/>
      <c r="L174" s="235"/>
    </row>
    <row r="175" spans="1:14" x14ac:dyDescent="0.25">
      <c r="K175" s="235"/>
      <c r="L175" s="235"/>
    </row>
    <row r="176" spans="1:14" ht="15" customHeight="1" x14ac:dyDescent="0.25">
      <c r="A176" s="328" t="s">
        <v>139</v>
      </c>
      <c r="B176" s="328" t="s">
        <v>21</v>
      </c>
      <c r="C176" s="328" t="s">
        <v>140</v>
      </c>
      <c r="D176" s="328" t="s">
        <v>141</v>
      </c>
      <c r="E176" s="328" t="s">
        <v>23</v>
      </c>
      <c r="F176" s="327" t="s">
        <v>25</v>
      </c>
      <c r="G176" s="327"/>
      <c r="H176" s="327"/>
      <c r="I176" s="327"/>
      <c r="K176" s="235"/>
      <c r="L176" s="235"/>
    </row>
    <row r="177" spans="1:13" ht="60" x14ac:dyDescent="0.25">
      <c r="A177" s="329"/>
      <c r="B177" s="329"/>
      <c r="C177" s="329"/>
      <c r="D177" s="329"/>
      <c r="E177" s="329"/>
      <c r="F177" s="266" t="str">
        <f>F56</f>
        <v>на 2023 г. текущий финансовый год</v>
      </c>
      <c r="G177" s="266" t="str">
        <f>G56</f>
        <v>на 2024 г. первый год планового периода</v>
      </c>
      <c r="H177" s="266" t="str">
        <f>H56</f>
        <v>на 2025 г. второй год планового периода</v>
      </c>
      <c r="I177" s="266" t="s">
        <v>29</v>
      </c>
      <c r="K177" s="235"/>
      <c r="L177" s="235"/>
    </row>
    <row r="178" spans="1:13" x14ac:dyDescent="0.25">
      <c r="A178" s="206">
        <v>1</v>
      </c>
      <c r="B178" s="201">
        <v>2</v>
      </c>
      <c r="C178" s="206">
        <v>3</v>
      </c>
      <c r="D178" s="206">
        <v>4</v>
      </c>
      <c r="E178" s="25" t="s">
        <v>620</v>
      </c>
      <c r="F178" s="237">
        <v>5</v>
      </c>
      <c r="G178" s="237">
        <v>6</v>
      </c>
      <c r="H178" s="237">
        <v>7</v>
      </c>
      <c r="I178" s="237">
        <v>8</v>
      </c>
      <c r="K178" s="235"/>
      <c r="L178" s="235"/>
    </row>
    <row r="179" spans="1:13" x14ac:dyDescent="0.25">
      <c r="A179" s="206" t="s">
        <v>145</v>
      </c>
      <c r="B179" s="202" t="s">
        <v>146</v>
      </c>
      <c r="C179" s="206">
        <v>26000</v>
      </c>
      <c r="D179" s="206" t="s">
        <v>32</v>
      </c>
      <c r="E179" s="206" t="s">
        <v>32</v>
      </c>
      <c r="F179" s="226">
        <f>F137</f>
        <v>17490350.109999999</v>
      </c>
      <c r="G179" s="226">
        <f t="shared" ref="G179:H179" si="38">G137</f>
        <v>11200981.25</v>
      </c>
      <c r="H179" s="226">
        <f t="shared" si="38"/>
        <v>11200981.25</v>
      </c>
      <c r="I179" s="226">
        <f t="shared" ref="I179" si="39">I137</f>
        <v>0</v>
      </c>
      <c r="K179" s="235"/>
      <c r="L179" s="235"/>
    </row>
    <row r="180" spans="1:13" ht="150" customHeight="1" x14ac:dyDescent="0.25">
      <c r="A180" s="206" t="s">
        <v>147</v>
      </c>
      <c r="B180" s="202" t="s">
        <v>148</v>
      </c>
      <c r="C180" s="206">
        <v>26100</v>
      </c>
      <c r="D180" s="206" t="s">
        <v>32</v>
      </c>
      <c r="E180" s="206" t="s">
        <v>32</v>
      </c>
      <c r="F180" s="226"/>
      <c r="G180" s="226"/>
      <c r="H180" s="226"/>
      <c r="I180" s="226"/>
      <c r="J180" s="2" t="s">
        <v>526</v>
      </c>
      <c r="K180" s="235" t="s">
        <v>222</v>
      </c>
      <c r="L180" s="235"/>
      <c r="M180" s="1" t="s">
        <v>288</v>
      </c>
    </row>
    <row r="181" spans="1:13" ht="61.5" customHeight="1" x14ac:dyDescent="0.25">
      <c r="A181" s="206" t="s">
        <v>149</v>
      </c>
      <c r="B181" s="202" t="s">
        <v>150</v>
      </c>
      <c r="C181" s="206">
        <v>26200</v>
      </c>
      <c r="D181" s="206" t="s">
        <v>32</v>
      </c>
      <c r="E181" s="206" t="s">
        <v>32</v>
      </c>
      <c r="F181" s="226">
        <f>'Таблица к разделу 2'!I12</f>
        <v>7326035</v>
      </c>
      <c r="G181" s="226">
        <f>'Таблица к разделу 2'!I30</f>
        <v>553483</v>
      </c>
      <c r="H181" s="226">
        <f>G181</f>
        <v>553483</v>
      </c>
      <c r="I181" s="226"/>
      <c r="J181" s="2" t="s">
        <v>526</v>
      </c>
      <c r="K181" s="235" t="s">
        <v>222</v>
      </c>
      <c r="L181" s="235"/>
      <c r="M181" s="2" t="s">
        <v>289</v>
      </c>
    </row>
    <row r="182" spans="1:13" ht="60" customHeight="1" x14ac:dyDescent="0.25">
      <c r="A182" s="206" t="s">
        <v>151</v>
      </c>
      <c r="B182" s="202" t="s">
        <v>152</v>
      </c>
      <c r="C182" s="206">
        <v>26300</v>
      </c>
      <c r="D182" s="206" t="s">
        <v>32</v>
      </c>
      <c r="E182" s="206" t="s">
        <v>32</v>
      </c>
      <c r="F182" s="226">
        <f>SUM(F183:F185)</f>
        <v>3981795.7300000004</v>
      </c>
      <c r="G182" s="226">
        <f>SUM(G183:G185)</f>
        <v>1889320.87</v>
      </c>
      <c r="H182" s="226">
        <f>SUM(H183:H185)</f>
        <v>0</v>
      </c>
      <c r="I182" s="226">
        <f t="shared" ref="I182" si="40">SUM(I183:I185)</f>
        <v>0</v>
      </c>
      <c r="K182" s="235" t="s">
        <v>222</v>
      </c>
      <c r="L182" s="235"/>
      <c r="M182" s="1" t="s">
        <v>288</v>
      </c>
    </row>
    <row r="183" spans="1:13" ht="29.25" customHeight="1" x14ac:dyDescent="0.25">
      <c r="A183" s="25" t="s">
        <v>621</v>
      </c>
      <c r="B183" s="202" t="s">
        <v>153</v>
      </c>
      <c r="C183" s="206">
        <v>26310</v>
      </c>
      <c r="D183" s="206" t="s">
        <v>32</v>
      </c>
      <c r="E183" s="206" t="s">
        <v>32</v>
      </c>
      <c r="F183" s="226"/>
      <c r="G183" s="226"/>
      <c r="H183" s="226"/>
      <c r="I183" s="226"/>
      <c r="K183" s="235" t="s">
        <v>222</v>
      </c>
      <c r="L183" s="235"/>
    </row>
    <row r="184" spans="1:13" ht="12.6" customHeight="1" x14ac:dyDescent="0.25">
      <c r="A184" s="246"/>
      <c r="B184" s="202" t="s">
        <v>731</v>
      </c>
      <c r="C184" s="206" t="s">
        <v>622</v>
      </c>
      <c r="D184" s="206" t="s">
        <v>32</v>
      </c>
      <c r="E184" s="206"/>
      <c r="F184" s="226"/>
      <c r="G184" s="226"/>
      <c r="H184" s="226"/>
      <c r="I184" s="226"/>
      <c r="K184" s="235"/>
      <c r="L184" s="235"/>
    </row>
    <row r="185" spans="1:13" ht="16.5" customHeight="1" x14ac:dyDescent="0.25">
      <c r="A185" s="25" t="s">
        <v>623</v>
      </c>
      <c r="B185" s="202" t="s">
        <v>154</v>
      </c>
      <c r="C185" s="206">
        <v>26320</v>
      </c>
      <c r="D185" s="206" t="s">
        <v>32</v>
      </c>
      <c r="E185" s="206" t="s">
        <v>32</v>
      </c>
      <c r="F185" s="226">
        <f>'Таблица к разделу 2'!I11</f>
        <v>3981795.7300000004</v>
      </c>
      <c r="G185" s="299">
        <f>'Таблица к разделу 2'!I20</f>
        <v>1889320.87</v>
      </c>
      <c r="H185" s="226"/>
      <c r="I185" s="226"/>
      <c r="K185" s="235" t="s">
        <v>222</v>
      </c>
      <c r="L185" s="235"/>
    </row>
    <row r="186" spans="1:13" ht="59.25" customHeight="1" x14ac:dyDescent="0.25">
      <c r="A186" s="206" t="s">
        <v>155</v>
      </c>
      <c r="B186" s="202" t="s">
        <v>156</v>
      </c>
      <c r="C186" s="206">
        <v>26400</v>
      </c>
      <c r="D186" s="206" t="s">
        <v>32</v>
      </c>
      <c r="E186" s="206" t="s">
        <v>32</v>
      </c>
      <c r="F186" s="226">
        <f>SUM(F187,F190,F194,F196)</f>
        <v>6182519.3799999999</v>
      </c>
      <c r="G186" s="226">
        <f t="shared" ref="G186:H186" si="41">SUM(G187,G190,G194,G196)</f>
        <v>8758177.379999999</v>
      </c>
      <c r="H186" s="226">
        <f t="shared" si="41"/>
        <v>10647498.25</v>
      </c>
      <c r="I186" s="226">
        <f>SUM(I187,I190,I194,I196)</f>
        <v>0</v>
      </c>
      <c r="K186" s="235" t="s">
        <v>222</v>
      </c>
      <c r="L186" s="235"/>
      <c r="M186" s="2" t="s">
        <v>289</v>
      </c>
    </row>
    <row r="187" spans="1:13" ht="40.9" customHeight="1" x14ac:dyDescent="0.25">
      <c r="A187" s="206" t="s">
        <v>157</v>
      </c>
      <c r="B187" s="202" t="s">
        <v>158</v>
      </c>
      <c r="C187" s="206">
        <v>26410</v>
      </c>
      <c r="D187" s="206" t="s">
        <v>32</v>
      </c>
      <c r="E187" s="206" t="s">
        <v>32</v>
      </c>
      <c r="F187" s="226">
        <f>SUM(F188:F189)</f>
        <v>3252919.7200000007</v>
      </c>
      <c r="G187" s="226">
        <f t="shared" ref="G187:H187" si="42">SUM(G188:G189)</f>
        <v>2358600.38</v>
      </c>
      <c r="H187" s="226">
        <f t="shared" si="42"/>
        <v>4244876.25</v>
      </c>
      <c r="I187" s="226">
        <f>SUM(I188:I189)</f>
        <v>0</v>
      </c>
      <c r="K187" s="235">
        <v>4</v>
      </c>
      <c r="L187" s="235"/>
    </row>
    <row r="188" spans="1:13" ht="29.25" customHeight="1" x14ac:dyDescent="0.25">
      <c r="A188" s="206" t="s">
        <v>159</v>
      </c>
      <c r="B188" s="202" t="s">
        <v>153</v>
      </c>
      <c r="C188" s="206">
        <v>26411</v>
      </c>
      <c r="D188" s="206" t="s">
        <v>32</v>
      </c>
      <c r="E188" s="206" t="s">
        <v>32</v>
      </c>
      <c r="F188" s="226"/>
      <c r="G188" s="226"/>
      <c r="H188" s="226"/>
      <c r="I188" s="226"/>
      <c r="K188" s="235"/>
      <c r="L188" s="235"/>
    </row>
    <row r="189" spans="1:13" ht="16.5" customHeight="1" x14ac:dyDescent="0.25">
      <c r="A189" s="206" t="s">
        <v>160</v>
      </c>
      <c r="B189" s="202" t="s">
        <v>154</v>
      </c>
      <c r="C189" s="206">
        <v>26412</v>
      </c>
      <c r="D189" s="206" t="s">
        <v>32</v>
      </c>
      <c r="E189" s="206" t="s">
        <v>32</v>
      </c>
      <c r="F189" s="226">
        <f>F145+F163-'Таблица к разделу 2'!B12-('Таблица к разделу 2'!B11+'Таблица к разделу 2'!C11+'Таблица к разделу 2'!D11+'Таблица к разделу 2'!E11+'Таблица к разделу 2'!F11)</f>
        <v>3252919.7200000007</v>
      </c>
      <c r="G189" s="226">
        <f>G145+G163-'Таблица к разделу 2'!B30-('Таблица к разделу 2'!B20+'Таблица к разделу 2'!C20+'Таблица к разделу 2'!D20+'Таблица к разделу 2'!E20+'Таблица к разделу 2'!F20)</f>
        <v>2358600.38</v>
      </c>
      <c r="H189" s="226">
        <f>H145+H163-'Таблица к разделу 2'!B47-('Таблица к разделу 2'!B38+'Таблица к разделу 2'!C38+'Таблица к разделу 2'!D38+'Таблица к разделу 2'!E38+'Таблица к разделу 2'!F38)</f>
        <v>4244876.25</v>
      </c>
      <c r="I189" s="226"/>
      <c r="K189" s="235"/>
      <c r="L189" s="235"/>
    </row>
    <row r="190" spans="1:13" ht="46.5" customHeight="1" x14ac:dyDescent="0.25">
      <c r="A190" s="206" t="s">
        <v>161</v>
      </c>
      <c r="B190" s="202" t="s">
        <v>162</v>
      </c>
      <c r="C190" s="206">
        <v>26420</v>
      </c>
      <c r="D190" s="206" t="s">
        <v>32</v>
      </c>
      <c r="E190" s="206" t="s">
        <v>32</v>
      </c>
      <c r="F190" s="226">
        <f>SUM(F191:F193)</f>
        <v>1581288.7000000002</v>
      </c>
      <c r="G190" s="226">
        <f t="shared" ref="G190:H190" si="43">SUM(G191:G193)</f>
        <v>0</v>
      </c>
      <c r="H190" s="226">
        <f t="shared" si="43"/>
        <v>0</v>
      </c>
      <c r="I190" s="226">
        <f t="shared" ref="I190" si="44">SUM(I191:I193)</f>
        <v>0</v>
      </c>
      <c r="K190" s="235">
        <v>5</v>
      </c>
      <c r="L190" s="235"/>
    </row>
    <row r="191" spans="1:13" ht="30.75" customHeight="1" x14ac:dyDescent="0.25">
      <c r="A191" s="206" t="s">
        <v>163</v>
      </c>
      <c r="B191" s="202" t="s">
        <v>153</v>
      </c>
      <c r="C191" s="206">
        <v>26421</v>
      </c>
      <c r="D191" s="206" t="s">
        <v>32</v>
      </c>
      <c r="E191" s="206" t="s">
        <v>32</v>
      </c>
      <c r="F191" s="226"/>
      <c r="G191" s="226"/>
      <c r="H191" s="226"/>
      <c r="I191" s="226"/>
      <c r="K191" s="235"/>
      <c r="L191" s="235"/>
    </row>
    <row r="192" spans="1:13" ht="13.15" customHeight="1" x14ac:dyDescent="0.25">
      <c r="A192" s="206"/>
      <c r="B192" s="202" t="s">
        <v>731</v>
      </c>
      <c r="C192" s="25" t="s">
        <v>624</v>
      </c>
      <c r="D192" s="206" t="s">
        <v>32</v>
      </c>
      <c r="E192" s="206"/>
      <c r="F192" s="226"/>
      <c r="G192" s="226"/>
      <c r="H192" s="226"/>
      <c r="I192" s="226"/>
      <c r="K192" s="235"/>
      <c r="L192" s="235"/>
    </row>
    <row r="193" spans="1:13" ht="15" customHeight="1" x14ac:dyDescent="0.25">
      <c r="A193" s="206" t="s">
        <v>164</v>
      </c>
      <c r="B193" s="202" t="s">
        <v>154</v>
      </c>
      <c r="C193" s="206">
        <v>26422</v>
      </c>
      <c r="D193" s="206" t="s">
        <v>32</v>
      </c>
      <c r="E193" s="206" t="s">
        <v>32</v>
      </c>
      <c r="F193" s="251">
        <f>F153+F165+F143-'Таблица к разделу 2'!G11-'Таблица к разделу 2'!G12</f>
        <v>1581288.7000000002</v>
      </c>
      <c r="G193" s="226">
        <f>G153+G165-'Таблица к разделу 2'!G20</f>
        <v>0</v>
      </c>
      <c r="H193" s="226">
        <f>H153+H165-'Таблица к разделу 2'!G38</f>
        <v>0</v>
      </c>
      <c r="I193" s="226"/>
      <c r="K193" s="235"/>
      <c r="L193" s="235"/>
    </row>
    <row r="194" spans="1:13" ht="30" customHeight="1" x14ac:dyDescent="0.25">
      <c r="A194" s="206" t="s">
        <v>165</v>
      </c>
      <c r="B194" s="202" t="s">
        <v>166</v>
      </c>
      <c r="C194" s="206">
        <v>26430</v>
      </c>
      <c r="D194" s="206" t="s">
        <v>32</v>
      </c>
      <c r="E194" s="206" t="s">
        <v>32</v>
      </c>
      <c r="F194" s="226"/>
      <c r="G194" s="226"/>
      <c r="H194" s="226"/>
      <c r="I194" s="226"/>
      <c r="K194" s="235">
        <v>6</v>
      </c>
      <c r="L194" s="235"/>
      <c r="M194" s="2" t="s">
        <v>290</v>
      </c>
    </row>
    <row r="195" spans="1:13" ht="14.45" customHeight="1" x14ac:dyDescent="0.25">
      <c r="A195" s="206"/>
      <c r="B195" s="202" t="s">
        <v>731</v>
      </c>
      <c r="C195" s="206" t="s">
        <v>625</v>
      </c>
      <c r="D195" s="206" t="s">
        <v>32</v>
      </c>
      <c r="E195" s="206"/>
      <c r="F195" s="226"/>
      <c r="G195" s="226"/>
      <c r="H195" s="226"/>
      <c r="I195" s="226"/>
      <c r="K195" s="235"/>
      <c r="L195" s="235"/>
    </row>
    <row r="196" spans="1:13" ht="15" customHeight="1" x14ac:dyDescent="0.25">
      <c r="A196" s="206" t="s">
        <v>167</v>
      </c>
      <c r="B196" s="202" t="s">
        <v>168</v>
      </c>
      <c r="C196" s="206">
        <v>26450</v>
      </c>
      <c r="D196" s="206" t="s">
        <v>32</v>
      </c>
      <c r="E196" s="206" t="s">
        <v>32</v>
      </c>
      <c r="F196" s="226">
        <f>SUM(F197:F199)</f>
        <v>1348310.9599999993</v>
      </c>
      <c r="G196" s="226">
        <f t="shared" ref="G196:H196" si="45">SUM(G197:G199)</f>
        <v>6399577</v>
      </c>
      <c r="H196" s="226">
        <f t="shared" si="45"/>
        <v>6402622</v>
      </c>
      <c r="I196" s="226">
        <f t="shared" ref="I196" si="46">SUM(I197:I199)</f>
        <v>0</v>
      </c>
      <c r="K196" s="235">
        <v>2</v>
      </c>
      <c r="L196" s="235"/>
    </row>
    <row r="197" spans="1:13" ht="30.75" customHeight="1" x14ac:dyDescent="0.25">
      <c r="A197" s="206" t="s">
        <v>169</v>
      </c>
      <c r="B197" s="202" t="s">
        <v>153</v>
      </c>
      <c r="C197" s="206">
        <v>26451</v>
      </c>
      <c r="D197" s="206" t="s">
        <v>32</v>
      </c>
      <c r="E197" s="206" t="s">
        <v>32</v>
      </c>
      <c r="F197" s="226"/>
      <c r="G197" s="226"/>
      <c r="H197" s="226"/>
      <c r="I197" s="226"/>
      <c r="K197" s="235"/>
      <c r="L197" s="235"/>
    </row>
    <row r="198" spans="1:13" ht="11.45" customHeight="1" x14ac:dyDescent="0.25">
      <c r="A198" s="206"/>
      <c r="B198" s="202" t="s">
        <v>731</v>
      </c>
      <c r="C198" s="206" t="s">
        <v>626</v>
      </c>
      <c r="D198" s="206" t="s">
        <v>32</v>
      </c>
      <c r="E198" s="206"/>
      <c r="F198" s="226"/>
      <c r="G198" s="226"/>
      <c r="H198" s="226"/>
      <c r="I198" s="226"/>
      <c r="K198" s="235"/>
      <c r="L198" s="235"/>
    </row>
    <row r="199" spans="1:13" ht="15" customHeight="1" x14ac:dyDescent="0.25">
      <c r="A199" s="206" t="s">
        <v>170</v>
      </c>
      <c r="B199" s="202" t="s">
        <v>154</v>
      </c>
      <c r="C199" s="206">
        <v>26452</v>
      </c>
      <c r="D199" s="206" t="s">
        <v>32</v>
      </c>
      <c r="E199" s="206" t="s">
        <v>32</v>
      </c>
      <c r="F199" s="226">
        <f>F149+F164-'Таблица к разделу 2'!H12-'Таблица к разделу 2'!H11</f>
        <v>1348310.9599999993</v>
      </c>
      <c r="G199" s="226">
        <f>G149+G164-'Таблица к разделу 2'!H30-'Таблица к разделу 2'!H20</f>
        <v>6399577</v>
      </c>
      <c r="H199" s="226">
        <f>H149+H164-'Таблица к разделу 2'!H47-'Таблица к разделу 2'!H38</f>
        <v>6402622</v>
      </c>
      <c r="I199" s="226"/>
      <c r="K199" s="235"/>
      <c r="L199" s="235"/>
    </row>
    <row r="200" spans="1:13" ht="61.5" customHeight="1" x14ac:dyDescent="0.25">
      <c r="A200" s="206" t="s">
        <v>171</v>
      </c>
      <c r="B200" s="202" t="s">
        <v>172</v>
      </c>
      <c r="C200" s="206">
        <v>26500</v>
      </c>
      <c r="D200" s="206" t="s">
        <v>32</v>
      </c>
      <c r="E200" s="206" t="s">
        <v>32</v>
      </c>
      <c r="F200" s="226">
        <f>F188+F191+F194+F197</f>
        <v>0</v>
      </c>
      <c r="G200" s="226">
        <f t="shared" ref="G200:H200" si="47">G188+G191+G194+G197</f>
        <v>0</v>
      </c>
      <c r="H200" s="226">
        <f t="shared" si="47"/>
        <v>0</v>
      </c>
      <c r="I200" s="226">
        <f>I188+I191+I194+I197</f>
        <v>0</v>
      </c>
      <c r="K200" s="235" t="s">
        <v>202</v>
      </c>
      <c r="L200" s="235"/>
      <c r="M200" s="2" t="s">
        <v>291</v>
      </c>
    </row>
    <row r="201" spans="1:13" ht="30" customHeight="1" x14ac:dyDescent="0.25">
      <c r="A201" s="26"/>
      <c r="B201" s="202" t="s">
        <v>292</v>
      </c>
      <c r="C201" s="206">
        <v>26510</v>
      </c>
      <c r="D201" s="206">
        <v>2023</v>
      </c>
      <c r="E201" s="206" t="s">
        <v>32</v>
      </c>
      <c r="F201" s="226"/>
      <c r="G201" s="226"/>
      <c r="H201" s="226"/>
      <c r="I201" s="226"/>
      <c r="K201" s="235"/>
      <c r="L201" s="235"/>
    </row>
    <row r="202" spans="1:13" x14ac:dyDescent="0.25">
      <c r="A202" s="26"/>
      <c r="B202" s="202" t="s">
        <v>293</v>
      </c>
      <c r="C202" s="206">
        <v>26520</v>
      </c>
      <c r="D202" s="206">
        <v>2024</v>
      </c>
      <c r="E202" s="206" t="s">
        <v>32</v>
      </c>
      <c r="F202" s="226"/>
      <c r="G202" s="226"/>
      <c r="H202" s="226"/>
      <c r="I202" s="226"/>
      <c r="K202" s="235"/>
      <c r="L202" s="235"/>
    </row>
    <row r="203" spans="1:13" x14ac:dyDescent="0.25">
      <c r="A203" s="26"/>
      <c r="B203" s="202" t="s">
        <v>294</v>
      </c>
      <c r="C203" s="206">
        <v>26530</v>
      </c>
      <c r="D203" s="206">
        <v>2025</v>
      </c>
      <c r="E203" s="206" t="s">
        <v>32</v>
      </c>
      <c r="F203" s="226"/>
      <c r="G203" s="226"/>
      <c r="H203" s="226"/>
      <c r="I203" s="226"/>
      <c r="K203" s="235"/>
      <c r="L203" s="235"/>
    </row>
    <row r="204" spans="1:13" ht="60.75" customHeight="1" x14ac:dyDescent="0.25">
      <c r="A204" s="206" t="s">
        <v>174</v>
      </c>
      <c r="B204" s="202" t="s">
        <v>175</v>
      </c>
      <c r="C204" s="206">
        <v>26600</v>
      </c>
      <c r="D204" s="206" t="s">
        <v>32</v>
      </c>
      <c r="E204" s="206" t="s">
        <v>32</v>
      </c>
      <c r="F204" s="226">
        <f>F189+F193+F199</f>
        <v>6182519.3799999999</v>
      </c>
      <c r="G204" s="226">
        <f t="shared" ref="G204:H204" si="48">G189+G193+G199</f>
        <v>8758177.379999999</v>
      </c>
      <c r="H204" s="226">
        <f t="shared" si="48"/>
        <v>10647498.25</v>
      </c>
      <c r="I204" s="226">
        <f t="shared" ref="I204" si="49">I189+I193+I199</f>
        <v>0</v>
      </c>
      <c r="K204" s="235" t="s">
        <v>222</v>
      </c>
      <c r="L204" s="235"/>
      <c r="M204" s="2" t="s">
        <v>291</v>
      </c>
    </row>
    <row r="205" spans="1:13" ht="30" customHeight="1" x14ac:dyDescent="0.25">
      <c r="A205" s="26"/>
      <c r="B205" s="202" t="s">
        <v>292</v>
      </c>
      <c r="C205" s="206">
        <v>26610</v>
      </c>
      <c r="D205" s="206">
        <v>2023</v>
      </c>
      <c r="E205" s="206" t="s">
        <v>32</v>
      </c>
      <c r="F205" s="226">
        <f>F186</f>
        <v>6182519.3799999999</v>
      </c>
      <c r="G205" s="299">
        <f>'Таблица к разделу 2'!I22+'Таблица к разделу 2'!I21</f>
        <v>293223.06999999995</v>
      </c>
      <c r="H205" s="226"/>
      <c r="I205" s="226"/>
      <c r="K205" s="235"/>
      <c r="L205" s="235"/>
    </row>
    <row r="206" spans="1:13" x14ac:dyDescent="0.25">
      <c r="A206" s="26"/>
      <c r="B206" s="202" t="s">
        <v>293</v>
      </c>
      <c r="C206" s="206">
        <v>26620</v>
      </c>
      <c r="D206" s="206">
        <v>2024</v>
      </c>
      <c r="E206" s="206" t="s">
        <v>32</v>
      </c>
      <c r="F206" s="226"/>
      <c r="G206" s="226">
        <f>G186-G205</f>
        <v>8464954.3099999987</v>
      </c>
      <c r="H206" s="226">
        <f>'Таблица к разделу 2'!I22</f>
        <v>149376.44999999998</v>
      </c>
      <c r="I206" s="226"/>
      <c r="K206" s="235"/>
      <c r="L206" s="235"/>
    </row>
    <row r="207" spans="1:13" x14ac:dyDescent="0.25">
      <c r="A207" s="26"/>
      <c r="B207" s="202" t="s">
        <v>294</v>
      </c>
      <c r="C207" s="206">
        <v>26630</v>
      </c>
      <c r="D207" s="206">
        <v>2025</v>
      </c>
      <c r="E207" s="206" t="s">
        <v>32</v>
      </c>
      <c r="F207" s="226"/>
      <c r="G207" s="226"/>
      <c r="H207" s="226">
        <f>H186-H206</f>
        <v>10498121.800000001</v>
      </c>
      <c r="I207" s="226"/>
      <c r="K207" s="235"/>
      <c r="L207" s="235"/>
    </row>
    <row r="208" spans="1:13" x14ac:dyDescent="0.25">
      <c r="K208" s="235"/>
      <c r="L208" s="235"/>
    </row>
    <row r="209" spans="2:13" x14ac:dyDescent="0.25">
      <c r="K209" s="235"/>
      <c r="L209" s="235"/>
    </row>
    <row r="210" spans="2:13" x14ac:dyDescent="0.25">
      <c r="B210" s="5" t="s">
        <v>176</v>
      </c>
      <c r="C210" s="325" t="s">
        <v>449</v>
      </c>
      <c r="D210" s="325"/>
      <c r="E210" s="37"/>
      <c r="F210" s="274" t="s">
        <v>450</v>
      </c>
      <c r="G210" s="274"/>
      <c r="J210" s="1" t="s">
        <v>735</v>
      </c>
      <c r="K210" s="235"/>
      <c r="L210" s="235"/>
    </row>
    <row r="211" spans="2:13" x14ac:dyDescent="0.25">
      <c r="B211" s="5"/>
      <c r="C211" s="301" t="s">
        <v>178</v>
      </c>
      <c r="D211" s="301"/>
      <c r="E211" s="204" t="s">
        <v>179</v>
      </c>
      <c r="F211" s="326" t="s">
        <v>180</v>
      </c>
      <c r="G211" s="326"/>
      <c r="J211" s="1" t="s">
        <v>734</v>
      </c>
      <c r="K211" s="235"/>
      <c r="L211" s="235"/>
    </row>
    <row r="212" spans="2:13" x14ac:dyDescent="0.25">
      <c r="J212" s="1" t="s">
        <v>738</v>
      </c>
      <c r="K212" s="235"/>
      <c r="L212" s="235"/>
    </row>
    <row r="213" spans="2:13" x14ac:dyDescent="0.25">
      <c r="B213" s="5" t="s">
        <v>181</v>
      </c>
      <c r="C213" s="304" t="s">
        <v>736</v>
      </c>
      <c r="D213" s="304"/>
      <c r="E213" s="325" t="s">
        <v>737</v>
      </c>
      <c r="F213" s="325"/>
      <c r="G213" s="271" t="s">
        <v>527</v>
      </c>
      <c r="K213" s="235"/>
      <c r="L213" s="235"/>
    </row>
    <row r="214" spans="2:13" x14ac:dyDescent="0.25">
      <c r="B214" s="5"/>
      <c r="C214" s="301" t="s">
        <v>182</v>
      </c>
      <c r="D214" s="301"/>
      <c r="E214" s="301" t="s">
        <v>183</v>
      </c>
      <c r="F214" s="301"/>
      <c r="G214" s="257" t="s">
        <v>184</v>
      </c>
      <c r="K214" s="235"/>
      <c r="L214" s="235"/>
    </row>
    <row r="215" spans="2:13" x14ac:dyDescent="0.25">
      <c r="K215" s="235"/>
      <c r="L215" s="235"/>
    </row>
    <row r="216" spans="2:13" x14ac:dyDescent="0.25">
      <c r="B216" s="2" t="str">
        <f>C32</f>
        <v>«  27  »       ноября      2023 г.</v>
      </c>
      <c r="K216" s="235"/>
      <c r="L216" s="235"/>
    </row>
    <row r="217" spans="2:13" x14ac:dyDescent="0.25">
      <c r="K217" s="235"/>
      <c r="L217" s="235"/>
    </row>
    <row r="219" spans="2:13" x14ac:dyDescent="0.25">
      <c r="B219" s="2" t="s">
        <v>295</v>
      </c>
      <c r="D219" s="1" t="s">
        <v>528</v>
      </c>
      <c r="F219" s="272">
        <f>F179-F180-F181-F182-F186</f>
        <v>0</v>
      </c>
      <c r="G219" s="272">
        <f>G179-G180-G181-G182-G186</f>
        <v>0</v>
      </c>
      <c r="H219" s="272">
        <f>H179-H180-H181-H182-H186</f>
        <v>0</v>
      </c>
      <c r="I219" s="272">
        <f>I179-I180-I181-I182-I186</f>
        <v>0</v>
      </c>
    </row>
    <row r="220" spans="2:13" x14ac:dyDescent="0.25">
      <c r="D220" s="57">
        <v>26500</v>
      </c>
      <c r="F220" s="272">
        <f>F200-F201-F202-F203</f>
        <v>0</v>
      </c>
      <c r="G220" s="272">
        <f t="shared" ref="G220:I220" si="50">G200-G201-G202-G203</f>
        <v>0</v>
      </c>
      <c r="H220" s="272">
        <f t="shared" si="50"/>
        <v>0</v>
      </c>
      <c r="I220" s="272">
        <f t="shared" si="50"/>
        <v>0</v>
      </c>
    </row>
    <row r="221" spans="2:13" x14ac:dyDescent="0.25">
      <c r="D221" s="57">
        <v>26600</v>
      </c>
      <c r="F221" s="272">
        <f>F204-F205-F206-F207</f>
        <v>0</v>
      </c>
      <c r="G221" s="272">
        <f t="shared" ref="G221:I221" si="51">G204-G205-G206-G207</f>
        <v>0</v>
      </c>
      <c r="H221" s="272">
        <f t="shared" si="51"/>
        <v>0</v>
      </c>
      <c r="I221" s="272">
        <f t="shared" si="51"/>
        <v>0</v>
      </c>
    </row>
    <row r="222" spans="2:13" x14ac:dyDescent="0.25">
      <c r="D222" s="162">
        <v>26000</v>
      </c>
      <c r="E222" s="163"/>
      <c r="F222" s="273">
        <f>F179-F180-F181-F182-F186</f>
        <v>0</v>
      </c>
      <c r="G222" s="273">
        <f>G179-G180-G181-G182-G186</f>
        <v>0</v>
      </c>
      <c r="H222" s="273">
        <f>H179-H180-H181-H182-H186</f>
        <v>0</v>
      </c>
      <c r="I222" s="273">
        <f>I179-I180-I181-I182-I186</f>
        <v>0</v>
      </c>
    </row>
    <row r="223" spans="2:13" x14ac:dyDescent="0.25">
      <c r="D223" s="162"/>
      <c r="E223" s="163"/>
      <c r="F223" s="273"/>
      <c r="G223" s="273"/>
      <c r="H223" s="273"/>
      <c r="I223" s="273"/>
    </row>
    <row r="224" spans="2:13" s="152" customFormat="1" x14ac:dyDescent="0.25">
      <c r="B224" s="153" t="s">
        <v>465</v>
      </c>
      <c r="D224" s="152" t="s">
        <v>451</v>
      </c>
      <c r="F224" s="272">
        <f>F81+F85+F88+F92+F96+F101+F113+F116+F119+F136+F140+F149+F164</f>
        <v>7375435.9499999993</v>
      </c>
      <c r="G224" s="272">
        <f t="shared" ref="G224:H224" si="52">G81+G85+G88+G92+G96+G101+G113+G116+G119+G136+G140+G149+G164</f>
        <v>6704749</v>
      </c>
      <c r="H224" s="272">
        <f t="shared" si="52"/>
        <v>6704749</v>
      </c>
      <c r="I224" s="272"/>
      <c r="K224" s="247"/>
      <c r="L224" s="247"/>
      <c r="M224" s="153"/>
    </row>
    <row r="225" spans="2:13" s="152" customFormat="1" x14ac:dyDescent="0.25">
      <c r="B225" s="153"/>
      <c r="D225" s="152" t="s">
        <v>452</v>
      </c>
      <c r="F225" s="272">
        <f>F80+F84+F87+F91+F95+F100+F112+F115+F118+F135+F139+F145+F163</f>
        <v>58505828.399999999</v>
      </c>
      <c r="G225" s="272">
        <f t="shared" ref="G225:H225" si="53">G80+G84+G87+G91+G95+G100+G112+G115+G118+G135+G139+G145+G163</f>
        <v>32634251.25</v>
      </c>
      <c r="H225" s="272">
        <f t="shared" si="53"/>
        <v>32634251.25</v>
      </c>
      <c r="I225" s="240"/>
      <c r="K225" s="247"/>
      <c r="L225" s="247"/>
      <c r="M225" s="153"/>
    </row>
    <row r="226" spans="2:13" s="152" customFormat="1" x14ac:dyDescent="0.25">
      <c r="B226" s="153"/>
      <c r="D226" s="152" t="s">
        <v>453</v>
      </c>
      <c r="F226" s="272">
        <f>F82+F93+F103+F105+F141+F143+F153</f>
        <v>1630883.7000000002</v>
      </c>
      <c r="G226" s="272">
        <f>G82+G93+G103+G105+G141+G143+G153</f>
        <v>0</v>
      </c>
      <c r="H226" s="272">
        <f>H82+H93+H103+H105+H141+H143+H153</f>
        <v>0</v>
      </c>
      <c r="I226" s="240"/>
      <c r="K226" s="247"/>
      <c r="L226" s="247"/>
      <c r="M226" s="153"/>
    </row>
  </sheetData>
  <mergeCells count="51">
    <mergeCell ref="G20:H20"/>
    <mergeCell ref="G4:I4"/>
    <mergeCell ref="G5:I5"/>
    <mergeCell ref="G6:I6"/>
    <mergeCell ref="G8:I8"/>
    <mergeCell ref="G9:I9"/>
    <mergeCell ref="G11:H11"/>
    <mergeCell ref="G13:I13"/>
    <mergeCell ref="G14:I14"/>
    <mergeCell ref="G15:I15"/>
    <mergeCell ref="G18:I18"/>
    <mergeCell ref="G17:I17"/>
    <mergeCell ref="H42:H44"/>
    <mergeCell ref="I42:I44"/>
    <mergeCell ref="H45:H46"/>
    <mergeCell ref="I45:I46"/>
    <mergeCell ref="B53:I53"/>
    <mergeCell ref="H40:H41"/>
    <mergeCell ref="I40:I41"/>
    <mergeCell ref="B26:I26"/>
    <mergeCell ref="B27:I27"/>
    <mergeCell ref="H32:H33"/>
    <mergeCell ref="I32:I33"/>
    <mergeCell ref="G34:H35"/>
    <mergeCell ref="I34:I35"/>
    <mergeCell ref="C35:F35"/>
    <mergeCell ref="C36:F36"/>
    <mergeCell ref="H36:H37"/>
    <mergeCell ref="I36:I37"/>
    <mergeCell ref="G38:H39"/>
    <mergeCell ref="I38:I39"/>
    <mergeCell ref="A176:A177"/>
    <mergeCell ref="D176:D177"/>
    <mergeCell ref="E176:E177"/>
    <mergeCell ref="F176:I176"/>
    <mergeCell ref="B176:B177"/>
    <mergeCell ref="C176:C177"/>
    <mergeCell ref="B55:B56"/>
    <mergeCell ref="C55:C56"/>
    <mergeCell ref="D55:D56"/>
    <mergeCell ref="E55:E56"/>
    <mergeCell ref="F55:I55"/>
    <mergeCell ref="M58:M59"/>
    <mergeCell ref="B174:I174"/>
    <mergeCell ref="C213:D213"/>
    <mergeCell ref="E213:F213"/>
    <mergeCell ref="C214:D214"/>
    <mergeCell ref="E214:F214"/>
    <mergeCell ref="C210:D210"/>
    <mergeCell ref="C211:D211"/>
    <mergeCell ref="F211:G211"/>
  </mergeCells>
  <pageMargins left="0" right="0" top="0" bottom="0" header="0" footer="0"/>
  <pageSetup paperSize="9" scale="65" fitToHeight="0" orientation="portrait" r:id="rId1"/>
  <rowBreaks count="4" manualBreakCount="4">
    <brk id="52" max="8" man="1"/>
    <brk id="88" max="8" man="1"/>
    <brk id="119" max="8" man="1"/>
    <brk id="173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297"/>
  <sheetViews>
    <sheetView topLeftCell="A219" zoomScale="30" zoomScaleNormal="30" workbookViewId="0">
      <selection activeCell="BS260" sqref="BS260"/>
    </sheetView>
  </sheetViews>
  <sheetFormatPr defaultRowHeight="15" x14ac:dyDescent="0.25"/>
  <cols>
    <col min="1" max="1" width="6.7109375" style="1" customWidth="1"/>
    <col min="2" max="2" width="45.85546875" style="2" customWidth="1"/>
    <col min="3" max="3" width="3.85546875" style="1" customWidth="1"/>
    <col min="4" max="4" width="13.28515625" style="1" hidden="1" customWidth="1"/>
    <col min="5" max="5" width="10.85546875" style="1" customWidth="1"/>
    <col min="6" max="6" width="10.5703125" style="1" customWidth="1"/>
    <col min="7" max="7" width="16.5703125" style="1" hidden="1" customWidth="1"/>
    <col min="8" max="8" width="9.42578125" style="1" customWidth="1"/>
    <col min="9" max="9" width="8.5703125" style="1" customWidth="1"/>
    <col min="10" max="10" width="8" hidden="1" customWidth="1"/>
    <col min="11" max="11" width="7.140625" style="40" bestFit="1" customWidth="1"/>
    <col min="12" max="12" width="4.5703125" style="40" customWidth="1"/>
    <col min="13" max="13" width="2.42578125" style="11" customWidth="1"/>
    <col min="17" max="17" width="2.5703125" customWidth="1"/>
    <col min="18" max="18" width="9.140625" hidden="1" customWidth="1"/>
    <col min="20" max="20" width="6.85546875" customWidth="1"/>
    <col min="21" max="21" width="9.140625" hidden="1" customWidth="1"/>
    <col min="25" max="25" width="0.7109375" customWidth="1"/>
    <col min="26" max="26" width="9.140625" hidden="1" customWidth="1"/>
    <col min="28" max="28" width="5.5703125" customWidth="1"/>
    <col min="29" max="30" width="9.140625" hidden="1" customWidth="1"/>
    <col min="33" max="33" width="0.7109375" customWidth="1"/>
    <col min="34" max="34" width="9.140625" hidden="1" customWidth="1"/>
    <col min="36" max="36" width="7" customWidth="1"/>
    <col min="37" max="38" width="9.140625" hidden="1" customWidth="1"/>
    <col min="41" max="41" width="3.5703125" customWidth="1"/>
    <col min="42" max="42" width="9.140625" hidden="1" customWidth="1"/>
    <col min="45" max="45" width="1.140625" customWidth="1"/>
    <col min="46" max="46" width="9.140625" hidden="1" customWidth="1"/>
    <col min="47" max="47" width="12.7109375" customWidth="1"/>
  </cols>
  <sheetData>
    <row r="1" spans="1:13" ht="150" hidden="1" x14ac:dyDescent="0.25">
      <c r="K1" s="39" t="s">
        <v>186</v>
      </c>
      <c r="L1" s="39" t="s">
        <v>187</v>
      </c>
      <c r="M1" s="11" t="s">
        <v>188</v>
      </c>
    </row>
    <row r="2" spans="1:13" hidden="1" x14ac:dyDescent="0.25"/>
    <row r="3" spans="1:13" hidden="1" x14ac:dyDescent="0.25"/>
    <row r="4" spans="1:13" hidden="1" x14ac:dyDescent="0.25">
      <c r="G4" s="318" t="s">
        <v>0</v>
      </c>
      <c r="H4" s="318"/>
      <c r="I4" s="318"/>
    </row>
    <row r="5" spans="1:13" ht="30" hidden="1" customHeight="1" x14ac:dyDescent="0.25">
      <c r="G5" s="348" t="s">
        <v>189</v>
      </c>
      <c r="H5" s="348"/>
      <c r="I5" s="348"/>
    </row>
    <row r="6" spans="1:13" ht="55.5" hidden="1" customHeight="1" x14ac:dyDescent="0.25">
      <c r="G6" s="322" t="s">
        <v>1</v>
      </c>
      <c r="H6" s="322"/>
      <c r="I6" s="322"/>
    </row>
    <row r="7" spans="1:13" hidden="1" x14ac:dyDescent="0.25">
      <c r="G7" s="185"/>
      <c r="H7" s="185"/>
      <c r="I7" s="185"/>
    </row>
    <row r="8" spans="1:13" hidden="1" x14ac:dyDescent="0.25">
      <c r="G8" s="319" t="s">
        <v>190</v>
      </c>
      <c r="H8" s="319"/>
      <c r="I8" s="319"/>
    </row>
    <row r="9" spans="1:13" hidden="1" x14ac:dyDescent="0.25">
      <c r="G9" s="323" t="s">
        <v>2</v>
      </c>
      <c r="H9" s="323"/>
      <c r="I9" s="323"/>
    </row>
    <row r="10" spans="1:13" hidden="1" x14ac:dyDescent="0.25">
      <c r="G10" s="186"/>
      <c r="H10" s="186"/>
      <c r="I10" s="186"/>
    </row>
    <row r="11" spans="1:13" hidden="1" x14ac:dyDescent="0.25">
      <c r="G11" s="318" t="str">
        <f>G20</f>
        <v>« 07 »  февраля   2020 г.</v>
      </c>
      <c r="H11" s="318"/>
      <c r="I11" s="5"/>
    </row>
    <row r="12" spans="1:13" hidden="1" x14ac:dyDescent="0.25">
      <c r="G12" s="183"/>
      <c r="H12" s="183"/>
      <c r="I12" s="5"/>
    </row>
    <row r="13" spans="1:13" hidden="1" x14ac:dyDescent="0.25">
      <c r="B13" s="5"/>
      <c r="C13" s="5"/>
      <c r="G13" s="318" t="s">
        <v>4</v>
      </c>
      <c r="H13" s="318"/>
      <c r="I13" s="318"/>
    </row>
    <row r="14" spans="1:13" hidden="1" x14ac:dyDescent="0.25">
      <c r="A14" s="7"/>
      <c r="B14" s="5"/>
      <c r="C14" s="8"/>
      <c r="G14" s="319" t="s">
        <v>443</v>
      </c>
      <c r="H14" s="319"/>
      <c r="I14" s="319"/>
    </row>
    <row r="15" spans="1:13" ht="32.25" hidden="1" customHeight="1" x14ac:dyDescent="0.25">
      <c r="A15" s="7"/>
      <c r="B15" s="5"/>
      <c r="C15" s="9"/>
      <c r="G15" s="322" t="s">
        <v>5</v>
      </c>
      <c r="H15" s="322"/>
      <c r="I15" s="322"/>
      <c r="J15" s="10"/>
      <c r="K15" s="41"/>
      <c r="L15" s="41"/>
    </row>
    <row r="16" spans="1:13" hidden="1" x14ac:dyDescent="0.25">
      <c r="A16" s="7"/>
      <c r="B16" s="5"/>
      <c r="C16" s="9"/>
      <c r="G16" s="185"/>
      <c r="H16" s="185"/>
      <c r="I16" s="185"/>
      <c r="J16" s="10"/>
      <c r="K16" s="41"/>
      <c r="L16" s="41"/>
    </row>
    <row r="17" spans="1:13" hidden="1" x14ac:dyDescent="0.25">
      <c r="A17" s="7"/>
      <c r="B17" s="5"/>
      <c r="G17" s="184" t="s">
        <v>444</v>
      </c>
      <c r="H17" s="184"/>
      <c r="I17" s="184"/>
    </row>
    <row r="18" spans="1:13" hidden="1" x14ac:dyDescent="0.25">
      <c r="B18" s="5"/>
      <c r="C18" s="12"/>
      <c r="G18" s="323" t="s">
        <v>2</v>
      </c>
      <c r="H18" s="323"/>
      <c r="I18" s="323"/>
    </row>
    <row r="19" spans="1:13" ht="409.5" hidden="1" x14ac:dyDescent="0.25">
      <c r="B19" s="5"/>
      <c r="C19" s="12"/>
      <c r="G19" s="186"/>
      <c r="H19" s="186"/>
      <c r="I19" s="186"/>
      <c r="M19" s="11" t="s">
        <v>191</v>
      </c>
    </row>
    <row r="20" spans="1:13" ht="315" hidden="1" x14ac:dyDescent="0.25">
      <c r="B20" s="5"/>
      <c r="G20" s="340" t="s">
        <v>613</v>
      </c>
      <c r="H20" s="340"/>
      <c r="M20" s="11" t="s">
        <v>192</v>
      </c>
    </row>
    <row r="21" spans="1:13" hidden="1" x14ac:dyDescent="0.25">
      <c r="G21" s="5"/>
      <c r="H21" s="5"/>
      <c r="I21" s="5"/>
    </row>
    <row r="22" spans="1:13" hidden="1" x14ac:dyDescent="0.25">
      <c r="G22" s="183"/>
      <c r="H22" s="183"/>
      <c r="I22" s="183"/>
    </row>
    <row r="23" spans="1:13" hidden="1" x14ac:dyDescent="0.25">
      <c r="G23" s="183"/>
      <c r="H23" s="183"/>
      <c r="I23" s="183"/>
    </row>
    <row r="24" spans="1:13" ht="15.75" hidden="1" customHeight="1" x14ac:dyDescent="0.25">
      <c r="C24" s="13"/>
      <c r="D24" s="13"/>
      <c r="E24" s="13"/>
      <c r="F24" s="13"/>
      <c r="G24" s="13"/>
      <c r="H24" s="13"/>
      <c r="I24" s="13"/>
    </row>
    <row r="25" spans="1:13" ht="15.75" hidden="1" customHeight="1" x14ac:dyDescent="0.25">
      <c r="C25" s="13"/>
      <c r="D25" s="13"/>
      <c r="E25" s="13"/>
      <c r="F25" s="13"/>
      <c r="G25" s="13"/>
      <c r="H25" s="13"/>
      <c r="I25" s="13"/>
    </row>
    <row r="26" spans="1:13" ht="15.75" hidden="1" customHeight="1" x14ac:dyDescent="0.25">
      <c r="B26" s="314" t="s">
        <v>445</v>
      </c>
      <c r="C26" s="314"/>
      <c r="D26" s="314"/>
      <c r="E26" s="314"/>
      <c r="F26" s="314"/>
      <c r="G26" s="314"/>
      <c r="H26" s="314"/>
      <c r="I26" s="314"/>
    </row>
    <row r="27" spans="1:13" ht="15.75" hidden="1" customHeight="1" x14ac:dyDescent="0.25">
      <c r="B27" s="314" t="s">
        <v>193</v>
      </c>
      <c r="C27" s="314"/>
      <c r="D27" s="314"/>
      <c r="E27" s="314"/>
      <c r="F27" s="314"/>
      <c r="G27" s="314"/>
      <c r="H27" s="314"/>
      <c r="I27" s="314"/>
      <c r="J27" s="14"/>
    </row>
    <row r="28" spans="1:13" hidden="1" x14ac:dyDescent="0.25"/>
    <row r="29" spans="1:13" hidden="1" x14ac:dyDescent="0.25"/>
    <row r="30" spans="1:13" hidden="1" x14ac:dyDescent="0.25"/>
    <row r="31" spans="1:13" hidden="1" x14ac:dyDescent="0.25">
      <c r="I31" s="189" t="s">
        <v>8</v>
      </c>
    </row>
    <row r="32" spans="1:13" ht="285" hidden="1" x14ac:dyDescent="0.25">
      <c r="B32" s="16" t="s">
        <v>9</v>
      </c>
      <c r="C32" s="5" t="str">
        <f>G20</f>
        <v>« 07 »  февраля   2020 г.</v>
      </c>
      <c r="D32" s="5"/>
      <c r="H32" s="315" t="s">
        <v>10</v>
      </c>
      <c r="I32" s="349">
        <v>43868</v>
      </c>
      <c r="J32" s="40" t="s">
        <v>9</v>
      </c>
      <c r="K32" s="42" t="s">
        <v>3</v>
      </c>
      <c r="M32" s="11" t="s">
        <v>194</v>
      </c>
    </row>
    <row r="33" spans="2:11" hidden="1" x14ac:dyDescent="0.25">
      <c r="H33" s="315"/>
      <c r="I33" s="350"/>
    </row>
    <row r="34" spans="2:11" hidden="1" x14ac:dyDescent="0.25">
      <c r="G34" s="313" t="s">
        <v>11</v>
      </c>
      <c r="H34" s="309"/>
      <c r="I34" s="310">
        <v>32305650</v>
      </c>
    </row>
    <row r="35" spans="2:11" hidden="1" x14ac:dyDescent="0.25">
      <c r="B35" s="2" t="s">
        <v>12</v>
      </c>
      <c r="C35" s="337" t="s">
        <v>195</v>
      </c>
      <c r="D35" s="337"/>
      <c r="E35" s="337"/>
      <c r="F35" s="337"/>
      <c r="G35" s="313"/>
      <c r="H35" s="309"/>
      <c r="I35" s="312"/>
      <c r="J35" s="43"/>
      <c r="K35" s="42" t="s">
        <v>196</v>
      </c>
    </row>
    <row r="36" spans="2:11" hidden="1" x14ac:dyDescent="0.25">
      <c r="B36" s="2" t="s">
        <v>13</v>
      </c>
      <c r="C36" s="338" t="s">
        <v>197</v>
      </c>
      <c r="D36" s="338"/>
      <c r="E36" s="338"/>
      <c r="F36" s="338"/>
      <c r="H36" s="309" t="s">
        <v>14</v>
      </c>
      <c r="I36" s="310">
        <v>911</v>
      </c>
    </row>
    <row r="37" spans="2:11" hidden="1" x14ac:dyDescent="0.25">
      <c r="C37" s="7"/>
      <c r="D37" s="7"/>
      <c r="E37" s="7"/>
      <c r="F37" s="7"/>
      <c r="H37" s="309"/>
      <c r="I37" s="312"/>
    </row>
    <row r="38" spans="2:11" hidden="1" x14ac:dyDescent="0.25">
      <c r="C38" s="7"/>
      <c r="D38" s="7"/>
      <c r="E38" s="7"/>
      <c r="F38" s="7"/>
      <c r="G38" s="313" t="s">
        <v>11</v>
      </c>
      <c r="H38" s="309"/>
      <c r="I38" s="331" t="s">
        <v>446</v>
      </c>
    </row>
    <row r="39" spans="2:11" hidden="1" x14ac:dyDescent="0.25">
      <c r="C39" s="7"/>
      <c r="D39" s="7"/>
      <c r="E39" s="7"/>
      <c r="F39" s="7"/>
      <c r="G39" s="313"/>
      <c r="H39" s="309"/>
      <c r="I39" s="332"/>
      <c r="J39" s="43"/>
      <c r="K39" s="42" t="s">
        <v>198</v>
      </c>
    </row>
    <row r="40" spans="2:11" hidden="1" x14ac:dyDescent="0.25">
      <c r="C40" s="7"/>
      <c r="D40" s="7"/>
      <c r="E40" s="7"/>
      <c r="F40" s="7"/>
      <c r="H40" s="309" t="s">
        <v>15</v>
      </c>
      <c r="I40" s="331">
        <v>4205242745</v>
      </c>
    </row>
    <row r="41" spans="2:11" hidden="1" x14ac:dyDescent="0.25">
      <c r="C41" s="7"/>
      <c r="D41" s="7"/>
      <c r="E41" s="7"/>
      <c r="F41" s="7"/>
      <c r="H41" s="309"/>
      <c r="I41" s="332"/>
    </row>
    <row r="42" spans="2:11" hidden="1" x14ac:dyDescent="0.25">
      <c r="H42" s="309" t="s">
        <v>16</v>
      </c>
      <c r="I42" s="331">
        <v>420501001</v>
      </c>
    </row>
    <row r="43" spans="2:11" hidden="1" x14ac:dyDescent="0.25">
      <c r="B43" s="2" t="s">
        <v>17</v>
      </c>
      <c r="C43" s="145" t="s">
        <v>447</v>
      </c>
      <c r="D43" s="19"/>
      <c r="E43" s="19"/>
      <c r="F43" s="19"/>
      <c r="H43" s="309"/>
      <c r="I43" s="339"/>
    </row>
    <row r="44" spans="2:11" hidden="1" x14ac:dyDescent="0.25">
      <c r="B44" s="146" t="s">
        <v>448</v>
      </c>
      <c r="C44" s="19"/>
      <c r="D44" s="19"/>
      <c r="E44" s="19"/>
      <c r="F44" s="19"/>
      <c r="H44" s="309"/>
      <c r="I44" s="332"/>
    </row>
    <row r="45" spans="2:11" hidden="1" x14ac:dyDescent="0.25">
      <c r="B45" s="21"/>
      <c r="C45" s="7"/>
      <c r="D45" s="7"/>
      <c r="E45" s="7"/>
      <c r="F45" s="7"/>
      <c r="H45" s="309" t="s">
        <v>18</v>
      </c>
      <c r="I45" s="310">
        <v>383</v>
      </c>
    </row>
    <row r="46" spans="2:11" hidden="1" x14ac:dyDescent="0.25">
      <c r="B46" s="2" t="s">
        <v>19</v>
      </c>
      <c r="H46" s="309"/>
      <c r="I46" s="312"/>
    </row>
    <row r="47" spans="2:11" hidden="1" x14ac:dyDescent="0.25">
      <c r="H47" s="187"/>
      <c r="I47" s="187"/>
    </row>
    <row r="48" spans="2:11" hidden="1" x14ac:dyDescent="0.25">
      <c r="H48" s="187"/>
      <c r="I48" s="187"/>
    </row>
    <row r="49" spans="1:13" hidden="1" x14ac:dyDescent="0.25">
      <c r="H49" s="187"/>
      <c r="I49" s="187"/>
    </row>
    <row r="50" spans="1:13" hidden="1" x14ac:dyDescent="0.25">
      <c r="H50" s="187"/>
      <c r="I50" s="187"/>
    </row>
    <row r="51" spans="1:13" hidden="1" x14ac:dyDescent="0.25">
      <c r="H51" s="187"/>
      <c r="I51" s="187"/>
    </row>
    <row r="52" spans="1:13" hidden="1" x14ac:dyDescent="0.25"/>
    <row r="53" spans="1:13" hidden="1" x14ac:dyDescent="0.25">
      <c r="B53" s="307" t="s">
        <v>20</v>
      </c>
      <c r="C53" s="307"/>
      <c r="D53" s="307"/>
      <c r="E53" s="307"/>
      <c r="F53" s="307"/>
      <c r="G53" s="307"/>
      <c r="H53" s="307"/>
      <c r="I53" s="307"/>
    </row>
    <row r="54" spans="1:13" hidden="1" x14ac:dyDescent="0.25">
      <c r="C54" s="19"/>
      <c r="D54" s="19"/>
      <c r="E54" s="19"/>
      <c r="F54" s="19"/>
    </row>
    <row r="55" spans="1:13" hidden="1" x14ac:dyDescent="0.25">
      <c r="B55" s="306" t="s">
        <v>21</v>
      </c>
      <c r="C55" s="306" t="s">
        <v>22</v>
      </c>
      <c r="D55" s="306" t="s">
        <v>23</v>
      </c>
      <c r="E55" s="306" t="s">
        <v>24</v>
      </c>
      <c r="F55" s="308" t="s">
        <v>25</v>
      </c>
      <c r="G55" s="308"/>
      <c r="H55" s="308"/>
      <c r="I55" s="308"/>
    </row>
    <row r="56" spans="1:13" ht="90" hidden="1" x14ac:dyDescent="0.25">
      <c r="B56" s="306"/>
      <c r="C56" s="306"/>
      <c r="D56" s="306"/>
      <c r="E56" s="306"/>
      <c r="F56" s="188" t="s">
        <v>199</v>
      </c>
      <c r="G56" s="188" t="s">
        <v>200</v>
      </c>
      <c r="H56" s="188" t="s">
        <v>201</v>
      </c>
      <c r="I56" s="188" t="s">
        <v>29</v>
      </c>
    </row>
    <row r="57" spans="1:13" hidden="1" x14ac:dyDescent="0.25">
      <c r="B57" s="188">
        <v>1</v>
      </c>
      <c r="C57" s="189">
        <v>2</v>
      </c>
      <c r="D57" s="189">
        <v>3</v>
      </c>
      <c r="E57" s="189">
        <v>4</v>
      </c>
      <c r="F57" s="189">
        <v>5</v>
      </c>
      <c r="G57" s="189">
        <v>6</v>
      </c>
      <c r="H57" s="189">
        <v>7</v>
      </c>
      <c r="I57" s="189">
        <v>8</v>
      </c>
    </row>
    <row r="58" spans="1:13" ht="30" hidden="1" x14ac:dyDescent="0.25">
      <c r="B58" s="24" t="s">
        <v>30</v>
      </c>
      <c r="C58" s="25" t="s">
        <v>31</v>
      </c>
      <c r="D58" s="189" t="s">
        <v>32</v>
      </c>
      <c r="E58" s="189" t="s">
        <v>32</v>
      </c>
      <c r="F58" s="160">
        <v>1567307.64</v>
      </c>
      <c r="G58" s="27"/>
      <c r="H58" s="27"/>
      <c r="I58" s="27"/>
      <c r="K58" s="40" t="s">
        <v>202</v>
      </c>
      <c r="M58" s="351" t="s">
        <v>203</v>
      </c>
    </row>
    <row r="59" spans="1:13" ht="30" hidden="1" x14ac:dyDescent="0.25">
      <c r="B59" s="24" t="s">
        <v>33</v>
      </c>
      <c r="C59" s="25" t="s">
        <v>34</v>
      </c>
      <c r="D59" s="189" t="s">
        <v>32</v>
      </c>
      <c r="E59" s="189" t="s">
        <v>32</v>
      </c>
      <c r="F59" s="27" t="e">
        <f>F58+F60-F77+F162-F166</f>
        <v>#REF!</v>
      </c>
      <c r="G59" s="27" t="e">
        <f t="shared" ref="G59" si="0">G58+G60-G77+G162-G166</f>
        <v>#REF!</v>
      </c>
      <c r="H59" s="27" t="e">
        <f>H58+H60-H77+H162-H166</f>
        <v>#REF!</v>
      </c>
      <c r="I59" s="27">
        <f>I58+I60-I77</f>
        <v>0</v>
      </c>
      <c r="K59" s="40" t="s">
        <v>202</v>
      </c>
      <c r="M59" s="351"/>
    </row>
    <row r="60" spans="1:13" s="33" customFormat="1" ht="14.25" hidden="1" x14ac:dyDescent="0.2">
      <c r="A60" s="28"/>
      <c r="B60" s="29" t="s">
        <v>35</v>
      </c>
      <c r="C60" s="30" t="s">
        <v>36</v>
      </c>
      <c r="D60" s="31"/>
      <c r="E60" s="31"/>
      <c r="F60" s="32">
        <f>SUM(F61,F62,F65,F66,F69,F72,F75)</f>
        <v>63426664.920000002</v>
      </c>
      <c r="G60" s="32">
        <f t="shared" ref="G60:H60" si="1">SUM(G61,G62,G65,G66,G69,G72,G75)</f>
        <v>38739395.25</v>
      </c>
      <c r="H60" s="32">
        <f t="shared" si="1"/>
        <v>38739395.25</v>
      </c>
      <c r="I60" s="32">
        <f t="shared" ref="I60" si="2">SUM(I61,I62,I65,I66,I69,I72)</f>
        <v>0</v>
      </c>
      <c r="J60" s="172" t="e">
        <f>F60+F58+F164-F77</f>
        <v>#REF!</v>
      </c>
      <c r="K60" s="44"/>
      <c r="L60" s="44"/>
      <c r="M60" s="45"/>
    </row>
    <row r="61" spans="1:13" ht="90" hidden="1" x14ac:dyDescent="0.25">
      <c r="B61" s="24" t="s">
        <v>37</v>
      </c>
      <c r="C61" s="25" t="s">
        <v>38</v>
      </c>
      <c r="D61" s="189">
        <v>120</v>
      </c>
      <c r="E61" s="189"/>
      <c r="F61" s="160"/>
      <c r="G61" s="160"/>
      <c r="H61" s="160"/>
      <c r="I61" s="27"/>
      <c r="K61" s="46">
        <v>2</v>
      </c>
      <c r="L61" s="46">
        <v>121</v>
      </c>
      <c r="M61" s="11" t="s">
        <v>204</v>
      </c>
    </row>
    <row r="62" spans="1:13" ht="30" hidden="1" x14ac:dyDescent="0.25">
      <c r="B62" s="24" t="s">
        <v>39</v>
      </c>
      <c r="C62" s="25" t="s">
        <v>40</v>
      </c>
      <c r="D62" s="189">
        <v>130</v>
      </c>
      <c r="E62" s="189"/>
      <c r="F62" s="27">
        <f>SUM(F63:F64)</f>
        <v>61495781.219999999</v>
      </c>
      <c r="G62" s="27">
        <f t="shared" ref="G62:I62" si="3">SUM(G63:G64)</f>
        <v>38439395.25</v>
      </c>
      <c r="H62" s="27">
        <f t="shared" si="3"/>
        <v>38439395.25</v>
      </c>
      <c r="I62" s="27">
        <f t="shared" si="3"/>
        <v>0</v>
      </c>
      <c r="K62" s="47"/>
      <c r="L62" s="48"/>
    </row>
    <row r="63" spans="1:13" ht="74.25" hidden="1" customHeight="1" x14ac:dyDescent="0.25">
      <c r="B63" s="24" t="s">
        <v>41</v>
      </c>
      <c r="C63" s="25" t="s">
        <v>42</v>
      </c>
      <c r="D63" s="189">
        <v>130</v>
      </c>
      <c r="E63" s="189"/>
      <c r="F63" s="161">
        <f>'Утверждено (МЗ,ИЦ,КАП)'!I5</f>
        <v>55690637.219999999</v>
      </c>
      <c r="G63" s="27">
        <f>'Утверждено (МЗ,ИЦ,КАП)'!J5</f>
        <v>32634251.25</v>
      </c>
      <c r="H63" s="27">
        <f>'Утверждено (МЗ,ИЦ,КАП)'!K5</f>
        <v>32634251.25</v>
      </c>
      <c r="I63" s="27"/>
      <c r="K63" s="48">
        <v>4</v>
      </c>
      <c r="L63" s="48">
        <v>131</v>
      </c>
      <c r="M63" s="11" t="s">
        <v>205</v>
      </c>
    </row>
    <row r="64" spans="1:13" ht="409.5" hidden="1" x14ac:dyDescent="0.25">
      <c r="B64" s="24" t="s">
        <v>206</v>
      </c>
      <c r="C64" s="25" t="s">
        <v>207</v>
      </c>
      <c r="D64" s="189">
        <v>130</v>
      </c>
      <c r="E64" s="189"/>
      <c r="F64" s="160">
        <f>5039443+665701+100000</f>
        <v>5805144</v>
      </c>
      <c r="G64" s="160">
        <f t="shared" ref="G64:H64" si="4">5039443+665701+100000</f>
        <v>5805144</v>
      </c>
      <c r="H64" s="160">
        <f t="shared" si="4"/>
        <v>5805144</v>
      </c>
      <c r="I64" s="27"/>
      <c r="K64" s="48">
        <v>2</v>
      </c>
      <c r="L64" s="48" t="s">
        <v>208</v>
      </c>
      <c r="M64" s="11" t="s">
        <v>209</v>
      </c>
    </row>
    <row r="65" spans="1:13" ht="32.25" hidden="1" customHeight="1" x14ac:dyDescent="0.25">
      <c r="B65" s="24" t="s">
        <v>43</v>
      </c>
      <c r="C65" s="25" t="s">
        <v>44</v>
      </c>
      <c r="D65" s="189">
        <v>140</v>
      </c>
      <c r="E65" s="189"/>
      <c r="F65" s="27"/>
      <c r="G65" s="27"/>
      <c r="H65" s="27"/>
      <c r="I65" s="27"/>
      <c r="K65" s="48">
        <v>2</v>
      </c>
      <c r="L65" s="48" t="s">
        <v>210</v>
      </c>
      <c r="M65" s="11" t="s">
        <v>211</v>
      </c>
    </row>
    <row r="66" spans="1:13" hidden="1" x14ac:dyDescent="0.25">
      <c r="B66" s="24" t="s">
        <v>45</v>
      </c>
      <c r="C66" s="25" t="s">
        <v>46</v>
      </c>
      <c r="D66" s="189">
        <v>150</v>
      </c>
      <c r="E66" s="189"/>
      <c r="F66" s="181">
        <f>SUM(F67:F68)</f>
        <v>1930883.6999999997</v>
      </c>
      <c r="G66" s="181">
        <f t="shared" ref="G66:I66" si="5">SUM(G67:G68)</f>
        <v>300000</v>
      </c>
      <c r="H66" s="181">
        <f t="shared" si="5"/>
        <v>300000</v>
      </c>
      <c r="I66" s="27">
        <f t="shared" si="5"/>
        <v>0</v>
      </c>
      <c r="K66" s="48"/>
      <c r="L66" s="48"/>
    </row>
    <row r="67" spans="1:13" ht="60" hidden="1" x14ac:dyDescent="0.25">
      <c r="B67" s="24" t="s">
        <v>212</v>
      </c>
      <c r="C67" s="25" t="s">
        <v>213</v>
      </c>
      <c r="D67" s="189">
        <v>150</v>
      </c>
      <c r="E67" s="189"/>
      <c r="F67" s="160">
        <v>300000</v>
      </c>
      <c r="G67" s="160">
        <v>300000</v>
      </c>
      <c r="H67" s="160">
        <v>300000</v>
      </c>
      <c r="I67" s="27"/>
      <c r="K67" s="48">
        <v>2</v>
      </c>
      <c r="L67" s="48">
        <v>155</v>
      </c>
      <c r="M67" s="11" t="s">
        <v>214</v>
      </c>
    </row>
    <row r="68" spans="1:13" s="174" customFormat="1" ht="409.5" hidden="1" x14ac:dyDescent="0.25">
      <c r="B68" s="175" t="s">
        <v>283</v>
      </c>
      <c r="C68" s="176" t="s">
        <v>614</v>
      </c>
      <c r="D68" s="177">
        <v>150</v>
      </c>
      <c r="E68" s="177"/>
      <c r="F68" s="161">
        <f>'Утверждено (МЗ,ИЦ,КАП)'!F197</f>
        <v>1630883.6999999997</v>
      </c>
      <c r="G68" s="161">
        <f>'Утверждено (МЗ,ИЦ,КАП)'!G197</f>
        <v>0</v>
      </c>
      <c r="H68" s="161">
        <f>'Утверждено (МЗ,ИЦ,КАП)'!H197</f>
        <v>0</v>
      </c>
      <c r="I68" s="161"/>
      <c r="K68" s="178">
        <v>5</v>
      </c>
      <c r="L68" s="179" t="s">
        <v>215</v>
      </c>
      <c r="M68" s="180" t="s">
        <v>216</v>
      </c>
    </row>
    <row r="69" spans="1:13" hidden="1" x14ac:dyDescent="0.25">
      <c r="B69" s="24" t="s">
        <v>48</v>
      </c>
      <c r="C69" s="25" t="s">
        <v>49</v>
      </c>
      <c r="D69" s="189">
        <v>180</v>
      </c>
      <c r="E69" s="189"/>
      <c r="F69" s="27">
        <f>SUM(F70:F71)</f>
        <v>0</v>
      </c>
      <c r="G69" s="27">
        <f t="shared" ref="G69:I69" si="6">SUM(G70:G71)</f>
        <v>0</v>
      </c>
      <c r="H69" s="27">
        <f t="shared" si="6"/>
        <v>0</v>
      </c>
      <c r="I69" s="27">
        <f t="shared" si="6"/>
        <v>0</v>
      </c>
      <c r="K69" s="48"/>
      <c r="L69" s="48"/>
    </row>
    <row r="70" spans="1:13" ht="409.5" hidden="1" x14ac:dyDescent="0.25">
      <c r="B70" s="24" t="s">
        <v>50</v>
      </c>
      <c r="C70" s="25" t="s">
        <v>51</v>
      </c>
      <c r="D70" s="189">
        <v>180</v>
      </c>
      <c r="E70" s="189"/>
      <c r="F70" s="27">
        <f>'Утверждено (МЗ,ИЦ,КАП)'!I199</f>
        <v>0</v>
      </c>
      <c r="G70" s="27">
        <f>'Утверждено (МЗ,ИЦ,КАП)'!J199</f>
        <v>0</v>
      </c>
      <c r="H70" s="27">
        <f>'Утверждено (МЗ,ИЦ,КАП)'!K199</f>
        <v>0</v>
      </c>
      <c r="I70" s="27"/>
      <c r="K70" s="48">
        <v>5</v>
      </c>
      <c r="L70" s="48" t="s">
        <v>215</v>
      </c>
      <c r="M70" s="11" t="s">
        <v>216</v>
      </c>
    </row>
    <row r="71" spans="1:13" ht="30" hidden="1" x14ac:dyDescent="0.25">
      <c r="B71" s="24" t="s">
        <v>52</v>
      </c>
      <c r="C71" s="25" t="s">
        <v>53</v>
      </c>
      <c r="D71" s="189">
        <v>180</v>
      </c>
      <c r="E71" s="189"/>
      <c r="F71" s="27"/>
      <c r="G71" s="27"/>
      <c r="H71" s="27"/>
      <c r="I71" s="27"/>
      <c r="K71" s="48">
        <v>6</v>
      </c>
      <c r="L71" s="48"/>
    </row>
    <row r="72" spans="1:13" ht="15" hidden="1" customHeight="1" x14ac:dyDescent="0.25">
      <c r="B72" s="24" t="s">
        <v>54</v>
      </c>
      <c r="C72" s="25" t="s">
        <v>55</v>
      </c>
      <c r="D72" s="189"/>
      <c r="E72" s="189"/>
      <c r="F72" s="27">
        <f>SUM(F73:F74)</f>
        <v>0</v>
      </c>
      <c r="G72" s="27">
        <f t="shared" ref="G72:I72" si="7">SUM(G73:G74)</f>
        <v>0</v>
      </c>
      <c r="H72" s="27">
        <f t="shared" si="7"/>
        <v>0</v>
      </c>
      <c r="I72" s="27">
        <f t="shared" si="7"/>
        <v>0</v>
      </c>
      <c r="K72" s="48"/>
      <c r="L72" s="48"/>
    </row>
    <row r="73" spans="1:13" ht="60" hidden="1" x14ac:dyDescent="0.25">
      <c r="B73" s="24" t="s">
        <v>212</v>
      </c>
      <c r="C73" s="25" t="s">
        <v>217</v>
      </c>
      <c r="D73" s="189">
        <v>410</v>
      </c>
      <c r="E73" s="189"/>
      <c r="F73" s="27"/>
      <c r="G73" s="27"/>
      <c r="H73" s="27"/>
      <c r="I73" s="27"/>
      <c r="K73" s="48">
        <v>2</v>
      </c>
      <c r="L73" s="48">
        <v>410</v>
      </c>
      <c r="M73" t="s">
        <v>218</v>
      </c>
    </row>
    <row r="74" spans="1:13" ht="409.5" hidden="1" x14ac:dyDescent="0.25">
      <c r="B74" s="24" t="s">
        <v>206</v>
      </c>
      <c r="C74" s="25" t="s">
        <v>219</v>
      </c>
      <c r="D74" s="189">
        <v>440</v>
      </c>
      <c r="E74" s="189"/>
      <c r="F74" s="27"/>
      <c r="G74" s="27"/>
      <c r="H74" s="27"/>
      <c r="I74" s="27"/>
      <c r="K74" s="48">
        <v>2</v>
      </c>
      <c r="L74" s="48" t="s">
        <v>220</v>
      </c>
      <c r="M74" s="11" t="s">
        <v>221</v>
      </c>
    </row>
    <row r="75" spans="1:13" hidden="1" x14ac:dyDescent="0.25">
      <c r="B75" s="24" t="s">
        <v>56</v>
      </c>
      <c r="C75" s="25" t="s">
        <v>57</v>
      </c>
      <c r="D75" s="189" t="s">
        <v>32</v>
      </c>
      <c r="E75" s="189"/>
      <c r="F75" s="27"/>
      <c r="G75" s="27"/>
      <c r="H75" s="27"/>
      <c r="I75" s="27"/>
      <c r="K75" s="48" t="s">
        <v>222</v>
      </c>
      <c r="L75" s="48"/>
      <c r="M75" s="49" t="s">
        <v>223</v>
      </c>
    </row>
    <row r="76" spans="1:13" ht="58.5" hidden="1" customHeight="1" x14ac:dyDescent="0.25">
      <c r="B76" s="24" t="s">
        <v>58</v>
      </c>
      <c r="C76" s="25" t="s">
        <v>59</v>
      </c>
      <c r="D76" s="189">
        <v>510</v>
      </c>
      <c r="E76" s="189"/>
      <c r="F76" s="27"/>
      <c r="G76" s="27"/>
      <c r="H76" s="27"/>
      <c r="I76" s="50" t="s">
        <v>32</v>
      </c>
      <c r="K76" s="48" t="s">
        <v>222</v>
      </c>
      <c r="L76" s="48"/>
      <c r="M76" s="11" t="s">
        <v>224</v>
      </c>
    </row>
    <row r="77" spans="1:13" s="33" customFormat="1" ht="14.25" hidden="1" x14ac:dyDescent="0.2">
      <c r="A77" s="28"/>
      <c r="B77" s="29" t="s">
        <v>60</v>
      </c>
      <c r="C77" s="30" t="s">
        <v>61</v>
      </c>
      <c r="D77" s="31" t="s">
        <v>32</v>
      </c>
      <c r="E77" s="31"/>
      <c r="F77" s="32" t="e">
        <f>SUM(F78,F97,F110,F120,F133,F137,F157)</f>
        <v>#REF!</v>
      </c>
      <c r="G77" s="32" t="e">
        <f t="shared" ref="G77:I77" si="8">SUM(G78,G97,G110,G120,G133,G137,G157)</f>
        <v>#REF!</v>
      </c>
      <c r="H77" s="32" t="e">
        <f t="shared" si="8"/>
        <v>#REF!</v>
      </c>
      <c r="I77" s="32">
        <f t="shared" si="8"/>
        <v>0</v>
      </c>
      <c r="K77" s="51"/>
      <c r="L77" s="51"/>
      <c r="M77" s="45"/>
    </row>
    <row r="78" spans="1:13" ht="30" hidden="1" x14ac:dyDescent="0.25">
      <c r="B78" s="24" t="s">
        <v>62</v>
      </c>
      <c r="C78" s="25" t="s">
        <v>63</v>
      </c>
      <c r="D78" s="189" t="s">
        <v>32</v>
      </c>
      <c r="E78" s="189"/>
      <c r="F78" s="27">
        <f>SUM(F79,F83,F86,F89)</f>
        <v>47006815.780000001</v>
      </c>
      <c r="G78" s="27">
        <f t="shared" ref="G78:H78" si="9">SUM(G79,G83,G86,G89)</f>
        <v>27151734</v>
      </c>
      <c r="H78" s="27">
        <f t="shared" si="9"/>
        <v>27151734</v>
      </c>
      <c r="I78" s="27"/>
      <c r="K78" s="48"/>
      <c r="L78" s="48"/>
    </row>
    <row r="79" spans="1:13" ht="30" hidden="1" x14ac:dyDescent="0.25">
      <c r="B79" s="24" t="s">
        <v>64</v>
      </c>
      <c r="C79" s="25" t="s">
        <v>65</v>
      </c>
      <c r="D79" s="189">
        <v>111</v>
      </c>
      <c r="E79" s="189"/>
      <c r="F79" s="27">
        <f>SUM(F80:F82)</f>
        <v>36597209.780000001</v>
      </c>
      <c r="G79" s="27">
        <f t="shared" ref="G79:H79" si="10">SUM(G80:G82)</f>
        <v>20858796</v>
      </c>
      <c r="H79" s="27">
        <f t="shared" si="10"/>
        <v>20858796</v>
      </c>
      <c r="I79" s="50" t="s">
        <v>32</v>
      </c>
      <c r="K79" s="48"/>
      <c r="L79" s="48"/>
    </row>
    <row r="80" spans="1:13" ht="79.5" hidden="1" customHeight="1" x14ac:dyDescent="0.25">
      <c r="B80" s="35" t="s">
        <v>225</v>
      </c>
      <c r="C80" s="25" t="s">
        <v>226</v>
      </c>
      <c r="D80" s="189">
        <v>111</v>
      </c>
      <c r="E80" s="189"/>
      <c r="F80" s="161">
        <f>'Утверждено (МЗ,ИЦ,КАП)'!F7+'Утверждено (МЗ,ИЦ,КАП)'!F8+'Утверждено (МЗ,ИЦ,КАП)'!F114+'Утверждено (МЗ,ИЦ,КАП)'!F115</f>
        <v>36290808.780000001</v>
      </c>
      <c r="G80" s="27">
        <f>'Утверждено (МЗ,ИЦ,КАП)'!J7+'Утверждено (МЗ,ИЦ,КАП)'!J8+'Утверждено (МЗ,ИЦ,КАП)'!J114+'Утверждено (МЗ,ИЦ,КАП)'!J115</f>
        <v>20552395</v>
      </c>
      <c r="H80" s="27">
        <f>'Утверждено (МЗ,ИЦ,КАП)'!K7+'Утверждено (МЗ,ИЦ,КАП)'!K8+'Утверждено (МЗ,ИЦ,КАП)'!K114+'Утверждено (МЗ,ИЦ,КАП)'!K115</f>
        <v>20552395</v>
      </c>
      <c r="I80" s="50" t="s">
        <v>32</v>
      </c>
      <c r="K80" s="48">
        <v>4</v>
      </c>
      <c r="L80" s="48" t="s">
        <v>227</v>
      </c>
      <c r="M80" s="11" t="s">
        <v>228</v>
      </c>
    </row>
    <row r="81" spans="2:13" ht="409.5" hidden="1" x14ac:dyDescent="0.25">
      <c r="B81" s="24" t="s">
        <v>229</v>
      </c>
      <c r="C81" s="25" t="s">
        <v>230</v>
      </c>
      <c r="D81" s="189">
        <v>111</v>
      </c>
      <c r="E81" s="189"/>
      <c r="F81" s="160">
        <v>306401</v>
      </c>
      <c r="G81" s="160">
        <v>306401</v>
      </c>
      <c r="H81" s="160">
        <v>306401</v>
      </c>
      <c r="I81" s="50" t="s">
        <v>32</v>
      </c>
      <c r="K81" s="48">
        <v>2</v>
      </c>
      <c r="L81" s="48" t="s">
        <v>227</v>
      </c>
      <c r="M81" s="11" t="s">
        <v>228</v>
      </c>
    </row>
    <row r="82" spans="2:13" ht="409.5" hidden="1" x14ac:dyDescent="0.25">
      <c r="B82" s="24" t="s">
        <v>231</v>
      </c>
      <c r="C82" s="25" t="s">
        <v>232</v>
      </c>
      <c r="D82" s="189">
        <v>111</v>
      </c>
      <c r="E82" s="189"/>
      <c r="F82" s="27"/>
      <c r="G82" s="27"/>
      <c r="H82" s="27"/>
      <c r="I82" s="50" t="s">
        <v>32</v>
      </c>
      <c r="K82" s="48">
        <v>5</v>
      </c>
      <c r="L82" s="48" t="s">
        <v>227</v>
      </c>
      <c r="M82" s="11" t="s">
        <v>228</v>
      </c>
    </row>
    <row r="83" spans="2:13" ht="30" hidden="1" x14ac:dyDescent="0.25">
      <c r="B83" s="24" t="s">
        <v>67</v>
      </c>
      <c r="C83" s="25" t="s">
        <v>68</v>
      </c>
      <c r="D83" s="189">
        <v>112</v>
      </c>
      <c r="E83" s="189"/>
      <c r="F83" s="27">
        <f>SUM(F84:F85)</f>
        <v>0</v>
      </c>
      <c r="G83" s="27">
        <f t="shared" ref="G83:H83" si="11">SUM(G84:G85)</f>
        <v>0</v>
      </c>
      <c r="H83" s="27">
        <f t="shared" si="11"/>
        <v>0</v>
      </c>
      <c r="I83" s="50" t="s">
        <v>32</v>
      </c>
      <c r="K83" s="48"/>
      <c r="L83" s="48"/>
    </row>
    <row r="84" spans="2:13" ht="77.25" hidden="1" customHeight="1" x14ac:dyDescent="0.25">
      <c r="B84" s="35" t="s">
        <v>225</v>
      </c>
      <c r="C84" s="25" t="s">
        <v>233</v>
      </c>
      <c r="D84" s="189">
        <v>112</v>
      </c>
      <c r="E84" s="189"/>
      <c r="F84" s="27">
        <f>'Утверждено (МЗ,ИЦ,КАП)'!I9+'Утверждено (МЗ,ИЦ,КАП)'!I116</f>
        <v>0</v>
      </c>
      <c r="G84" s="27">
        <f>'Утверждено (МЗ,ИЦ,КАП)'!J9+'Утверждено (МЗ,ИЦ,КАП)'!J116</f>
        <v>0</v>
      </c>
      <c r="H84" s="27">
        <f>'Утверждено (МЗ,ИЦ,КАП)'!K9+'Утверждено (МЗ,ИЦ,КАП)'!K116</f>
        <v>0</v>
      </c>
      <c r="I84" s="50" t="s">
        <v>32</v>
      </c>
      <c r="K84" s="48">
        <v>4</v>
      </c>
      <c r="L84" s="48" t="s">
        <v>234</v>
      </c>
      <c r="M84" s="11" t="s">
        <v>235</v>
      </c>
    </row>
    <row r="85" spans="2:13" ht="409.5" hidden="1" x14ac:dyDescent="0.25">
      <c r="B85" s="24" t="s">
        <v>229</v>
      </c>
      <c r="C85" s="25" t="s">
        <v>236</v>
      </c>
      <c r="D85" s="189">
        <v>112</v>
      </c>
      <c r="E85" s="189"/>
      <c r="F85" s="27"/>
      <c r="G85" s="27"/>
      <c r="H85" s="27"/>
      <c r="I85" s="50" t="s">
        <v>32</v>
      </c>
      <c r="K85" s="48">
        <v>2</v>
      </c>
      <c r="L85" s="48" t="s">
        <v>234</v>
      </c>
      <c r="M85" s="11" t="s">
        <v>235</v>
      </c>
    </row>
    <row r="86" spans="2:13" ht="46.5" hidden="1" customHeight="1" x14ac:dyDescent="0.25">
      <c r="B86" s="24" t="s">
        <v>69</v>
      </c>
      <c r="C86" s="25" t="s">
        <v>70</v>
      </c>
      <c r="D86" s="189">
        <v>113</v>
      </c>
      <c r="E86" s="189"/>
      <c r="F86" s="27">
        <f>SUM(F87:F88)</f>
        <v>0</v>
      </c>
      <c r="G86" s="27">
        <f t="shared" ref="G86:H86" si="12">SUM(G87:G88)</f>
        <v>0</v>
      </c>
      <c r="H86" s="27">
        <f t="shared" si="12"/>
        <v>0</v>
      </c>
      <c r="I86" s="50" t="s">
        <v>32</v>
      </c>
      <c r="K86" s="48"/>
      <c r="L86" s="48"/>
    </row>
    <row r="87" spans="2:13" ht="76.5" hidden="1" customHeight="1" x14ac:dyDescent="0.25">
      <c r="B87" s="35" t="s">
        <v>225</v>
      </c>
      <c r="C87" s="25" t="s">
        <v>237</v>
      </c>
      <c r="D87" s="189">
        <v>113</v>
      </c>
      <c r="E87" s="189"/>
      <c r="F87" s="27"/>
      <c r="G87" s="27"/>
      <c r="H87" s="27"/>
      <c r="I87" s="50" t="s">
        <v>32</v>
      </c>
      <c r="K87" s="48">
        <v>4</v>
      </c>
      <c r="L87" s="48">
        <v>226</v>
      </c>
      <c r="M87" s="11" t="s">
        <v>238</v>
      </c>
    </row>
    <row r="88" spans="2:13" ht="409.5" hidden="1" x14ac:dyDescent="0.25">
      <c r="B88" s="24" t="s">
        <v>229</v>
      </c>
      <c r="C88" s="25" t="s">
        <v>239</v>
      </c>
      <c r="D88" s="189">
        <v>113</v>
      </c>
      <c r="E88" s="189"/>
      <c r="F88" s="27"/>
      <c r="G88" s="27"/>
      <c r="H88" s="27"/>
      <c r="I88" s="50" t="s">
        <v>32</v>
      </c>
      <c r="K88" s="48">
        <v>2</v>
      </c>
      <c r="L88" s="48">
        <v>226</v>
      </c>
      <c r="M88" s="11" t="s">
        <v>238</v>
      </c>
    </row>
    <row r="89" spans="2:13" ht="58.5" hidden="1" customHeight="1" x14ac:dyDescent="0.25">
      <c r="B89" s="24" t="s">
        <v>71</v>
      </c>
      <c r="C89" s="25" t="s">
        <v>72</v>
      </c>
      <c r="D89" s="189">
        <v>119</v>
      </c>
      <c r="E89" s="189"/>
      <c r="F89" s="27">
        <f>SUM(F90,F94)</f>
        <v>10409606</v>
      </c>
      <c r="G89" s="27">
        <f t="shared" ref="G89:H89" si="13">SUM(G90,G94)</f>
        <v>6292938</v>
      </c>
      <c r="H89" s="27">
        <f t="shared" si="13"/>
        <v>6292938</v>
      </c>
      <c r="I89" s="50" t="s">
        <v>32</v>
      </c>
      <c r="K89" s="48"/>
      <c r="L89" s="48"/>
    </row>
    <row r="90" spans="2:13" ht="30" hidden="1" x14ac:dyDescent="0.25">
      <c r="B90" s="24" t="s">
        <v>73</v>
      </c>
      <c r="C90" s="25" t="s">
        <v>74</v>
      </c>
      <c r="D90" s="189">
        <v>119</v>
      </c>
      <c r="E90" s="189"/>
      <c r="F90" s="27">
        <f>SUM(F91:F93)</f>
        <v>10409606</v>
      </c>
      <c r="G90" s="27">
        <f t="shared" ref="G90:H90" si="14">SUM(G91:G93)</f>
        <v>6292938</v>
      </c>
      <c r="H90" s="27">
        <f t="shared" si="14"/>
        <v>6292938</v>
      </c>
      <c r="I90" s="50" t="s">
        <v>32</v>
      </c>
      <c r="K90" s="48"/>
      <c r="L90" s="48"/>
    </row>
    <row r="91" spans="2:13" ht="91.5" hidden="1" customHeight="1" x14ac:dyDescent="0.25">
      <c r="B91" s="35" t="s">
        <v>240</v>
      </c>
      <c r="C91" s="25"/>
      <c r="D91" s="189">
        <v>119</v>
      </c>
      <c r="E91" s="189"/>
      <c r="F91" s="27">
        <f>'Утверждено (МЗ,ИЦ,КАП)'!I12+'Утверждено (МЗ,ИЦ,КАП)'!I119</f>
        <v>10317073</v>
      </c>
      <c r="G91" s="27">
        <f>'Утверждено (МЗ,ИЦ,КАП)'!J12+'Утверждено (МЗ,ИЦ,КАП)'!J119</f>
        <v>6200405</v>
      </c>
      <c r="H91" s="27">
        <f>'Утверждено (МЗ,ИЦ,КАП)'!K12+'Утверждено (МЗ,ИЦ,КАП)'!K119</f>
        <v>6200405</v>
      </c>
      <c r="I91" s="50" t="s">
        <v>32</v>
      </c>
      <c r="K91" s="48">
        <v>4</v>
      </c>
      <c r="L91" s="52">
        <v>213</v>
      </c>
      <c r="M91" s="11" t="s">
        <v>241</v>
      </c>
    </row>
    <row r="92" spans="2:13" ht="409.5" hidden="1" x14ac:dyDescent="0.25">
      <c r="B92" s="24" t="s">
        <v>242</v>
      </c>
      <c r="C92" s="25"/>
      <c r="D92" s="189">
        <v>119</v>
      </c>
      <c r="E92" s="189"/>
      <c r="F92" s="160">
        <v>92533</v>
      </c>
      <c r="G92" s="160">
        <v>92533</v>
      </c>
      <c r="H92" s="160">
        <v>92533</v>
      </c>
      <c r="I92" s="50" t="s">
        <v>32</v>
      </c>
      <c r="K92" s="48">
        <v>2</v>
      </c>
      <c r="L92" s="52">
        <v>213</v>
      </c>
      <c r="M92" s="11" t="s">
        <v>241</v>
      </c>
    </row>
    <row r="93" spans="2:13" ht="409.5" hidden="1" x14ac:dyDescent="0.25">
      <c r="B93" s="24" t="s">
        <v>243</v>
      </c>
      <c r="C93" s="25"/>
      <c r="D93" s="189">
        <v>119</v>
      </c>
      <c r="E93" s="189"/>
      <c r="F93" s="27"/>
      <c r="G93" s="27"/>
      <c r="H93" s="27"/>
      <c r="I93" s="50" t="s">
        <v>32</v>
      </c>
      <c r="K93" s="48">
        <v>5</v>
      </c>
      <c r="L93" s="48">
        <v>213</v>
      </c>
      <c r="M93" s="11" t="s">
        <v>241</v>
      </c>
    </row>
    <row r="94" spans="2:13" hidden="1" x14ac:dyDescent="0.25">
      <c r="B94" s="24" t="s">
        <v>76</v>
      </c>
      <c r="C94" s="25" t="s">
        <v>77</v>
      </c>
      <c r="D94" s="189">
        <v>119</v>
      </c>
      <c r="E94" s="189"/>
      <c r="F94" s="27">
        <f>SUM(F95:F96)</f>
        <v>0</v>
      </c>
      <c r="G94" s="27">
        <f t="shared" ref="G94:H94" si="15">SUM(G95:G96)</f>
        <v>0</v>
      </c>
      <c r="H94" s="27">
        <f t="shared" si="15"/>
        <v>0</v>
      </c>
      <c r="I94" s="50" t="s">
        <v>32</v>
      </c>
      <c r="J94" s="43"/>
      <c r="K94" s="48"/>
      <c r="L94" s="48"/>
    </row>
    <row r="95" spans="2:13" ht="92.25" hidden="1" customHeight="1" x14ac:dyDescent="0.25">
      <c r="B95" s="35" t="s">
        <v>240</v>
      </c>
      <c r="C95" s="25"/>
      <c r="D95" s="189">
        <v>119</v>
      </c>
      <c r="E95" s="189"/>
      <c r="F95" s="27"/>
      <c r="G95" s="27"/>
      <c r="H95" s="27"/>
      <c r="I95" s="50"/>
      <c r="K95" s="48">
        <v>4</v>
      </c>
      <c r="L95" s="52" t="s">
        <v>244</v>
      </c>
      <c r="M95" s="11" t="s">
        <v>245</v>
      </c>
    </row>
    <row r="96" spans="2:13" ht="409.5" hidden="1" x14ac:dyDescent="0.25">
      <c r="B96" s="24" t="s">
        <v>242</v>
      </c>
      <c r="C96" s="25"/>
      <c r="D96" s="189">
        <v>119</v>
      </c>
      <c r="E96" s="189"/>
      <c r="F96" s="27"/>
      <c r="G96" s="27"/>
      <c r="H96" s="27"/>
      <c r="I96" s="50"/>
      <c r="K96" s="48">
        <v>2</v>
      </c>
      <c r="L96" s="52" t="s">
        <v>244</v>
      </c>
      <c r="M96" s="11" t="s">
        <v>245</v>
      </c>
    </row>
    <row r="97" spans="2:13" hidden="1" x14ac:dyDescent="0.25">
      <c r="B97" s="24" t="s">
        <v>78</v>
      </c>
      <c r="C97" s="25" t="s">
        <v>79</v>
      </c>
      <c r="D97" s="189">
        <v>300</v>
      </c>
      <c r="E97" s="189"/>
      <c r="F97" s="27">
        <f>SUM(F98,F104,F106,F108)</f>
        <v>0</v>
      </c>
      <c r="G97" s="27">
        <f t="shared" ref="G97:H97" si="16">SUM(G98,G104,G106,G108)</f>
        <v>0</v>
      </c>
      <c r="H97" s="27">
        <f t="shared" si="16"/>
        <v>0</v>
      </c>
      <c r="I97" s="50" t="s">
        <v>32</v>
      </c>
      <c r="K97" s="48"/>
      <c r="L97" s="48"/>
    </row>
    <row r="98" spans="2:13" ht="45" hidden="1" x14ac:dyDescent="0.25">
      <c r="B98" s="24" t="s">
        <v>80</v>
      </c>
      <c r="C98" s="25" t="s">
        <v>81</v>
      </c>
      <c r="D98" s="189">
        <v>320</v>
      </c>
      <c r="E98" s="189"/>
      <c r="F98" s="27">
        <f>SUM(F99,F102)</f>
        <v>0</v>
      </c>
      <c r="G98" s="27">
        <f t="shared" ref="G98:H98" si="17">SUM(G99,G102)</f>
        <v>0</v>
      </c>
      <c r="H98" s="27">
        <f t="shared" si="17"/>
        <v>0</v>
      </c>
      <c r="I98" s="50" t="s">
        <v>32</v>
      </c>
      <c r="K98" s="48"/>
      <c r="L98" s="48"/>
    </row>
    <row r="99" spans="2:13" ht="60" hidden="1" x14ac:dyDescent="0.25">
      <c r="B99" s="24" t="s">
        <v>82</v>
      </c>
      <c r="C99" s="25" t="s">
        <v>83</v>
      </c>
      <c r="D99" s="189">
        <v>321</v>
      </c>
      <c r="E99" s="189"/>
      <c r="F99" s="27">
        <f>SUM(F100:F101)</f>
        <v>0</v>
      </c>
      <c r="G99" s="27">
        <f t="shared" ref="G99:H99" si="18">SUM(G100:G101)</f>
        <v>0</v>
      </c>
      <c r="H99" s="27">
        <f t="shared" si="18"/>
        <v>0</v>
      </c>
      <c r="I99" s="50" t="s">
        <v>32</v>
      </c>
      <c r="K99" s="48"/>
      <c r="L99" s="48"/>
    </row>
    <row r="100" spans="2:13" ht="91.5" hidden="1" customHeight="1" x14ac:dyDescent="0.25">
      <c r="B100" s="35" t="s">
        <v>240</v>
      </c>
      <c r="C100" s="25"/>
      <c r="D100" s="189">
        <v>321</v>
      </c>
      <c r="E100" s="189"/>
      <c r="F100" s="27">
        <f>'Утверждено (МЗ,ИЦ,КАП)'!I84</f>
        <v>0</v>
      </c>
      <c r="G100" s="27">
        <f>'Утверждено (МЗ,ИЦ,КАП)'!J84</f>
        <v>0</v>
      </c>
      <c r="H100" s="27">
        <f>'Утверждено (МЗ,ИЦ,КАП)'!K84</f>
        <v>0</v>
      </c>
      <c r="I100" s="50" t="s">
        <v>32</v>
      </c>
      <c r="K100" s="48">
        <v>4</v>
      </c>
      <c r="L100" s="48" t="s">
        <v>502</v>
      </c>
      <c r="M100" s="11" t="s">
        <v>503</v>
      </c>
    </row>
    <row r="101" spans="2:13" ht="409.5" hidden="1" x14ac:dyDescent="0.25">
      <c r="B101" s="24" t="s">
        <v>242</v>
      </c>
      <c r="C101" s="25"/>
      <c r="D101" s="189">
        <v>321</v>
      </c>
      <c r="E101" s="189"/>
      <c r="F101" s="27"/>
      <c r="G101" s="27"/>
      <c r="H101" s="27"/>
      <c r="I101" s="50" t="s">
        <v>32</v>
      </c>
      <c r="K101" s="48">
        <v>2</v>
      </c>
      <c r="L101" s="48" t="s">
        <v>246</v>
      </c>
      <c r="M101" s="11" t="s">
        <v>247</v>
      </c>
    </row>
    <row r="102" spans="2:13" ht="30" hidden="1" x14ac:dyDescent="0.25">
      <c r="B102" s="24" t="s">
        <v>248</v>
      </c>
      <c r="C102" s="25" t="s">
        <v>249</v>
      </c>
      <c r="D102" s="189">
        <v>323</v>
      </c>
      <c r="E102" s="189"/>
      <c r="F102" s="27">
        <f>SUM(F103)</f>
        <v>0</v>
      </c>
      <c r="G102" s="27">
        <f t="shared" ref="G102:H102" si="19">SUM(G103)</f>
        <v>0</v>
      </c>
      <c r="H102" s="27">
        <f t="shared" si="19"/>
        <v>0</v>
      </c>
      <c r="I102" s="50"/>
      <c r="K102" s="48"/>
      <c r="L102" s="48"/>
    </row>
    <row r="103" spans="2:13" ht="31.5" hidden="1" customHeight="1" x14ac:dyDescent="0.25">
      <c r="B103" s="35" t="s">
        <v>250</v>
      </c>
      <c r="C103" s="25"/>
      <c r="D103" s="189">
        <v>323</v>
      </c>
      <c r="E103" s="189"/>
      <c r="F103" s="27"/>
      <c r="G103" s="27"/>
      <c r="H103" s="27"/>
      <c r="I103" s="50"/>
      <c r="K103" s="48">
        <v>5</v>
      </c>
      <c r="L103" s="48" t="s">
        <v>251</v>
      </c>
      <c r="M103" s="11" t="s">
        <v>252</v>
      </c>
    </row>
    <row r="104" spans="2:13" hidden="1" x14ac:dyDescent="0.25">
      <c r="B104" s="24" t="s">
        <v>84</v>
      </c>
      <c r="C104" s="25" t="s">
        <v>85</v>
      </c>
      <c r="D104" s="189">
        <v>340</v>
      </c>
      <c r="E104" s="189"/>
      <c r="F104" s="27">
        <f>SUM(F105)</f>
        <v>0</v>
      </c>
      <c r="G104" s="27">
        <f t="shared" ref="G104:H104" si="20">SUM(G105)</f>
        <v>0</v>
      </c>
      <c r="H104" s="27">
        <f t="shared" si="20"/>
        <v>0</v>
      </c>
      <c r="I104" s="50" t="s">
        <v>32</v>
      </c>
      <c r="K104" s="48"/>
      <c r="L104" s="48"/>
    </row>
    <row r="105" spans="2:13" ht="30" hidden="1" customHeight="1" x14ac:dyDescent="0.25">
      <c r="B105" s="35" t="s">
        <v>250</v>
      </c>
      <c r="C105" s="25" t="s">
        <v>253</v>
      </c>
      <c r="D105" s="189">
        <v>340</v>
      </c>
      <c r="E105" s="189"/>
      <c r="F105" s="27"/>
      <c r="G105" s="27"/>
      <c r="H105" s="27"/>
      <c r="I105" s="50" t="s">
        <v>32</v>
      </c>
      <c r="K105" s="48">
        <v>5</v>
      </c>
      <c r="L105" s="48">
        <v>296</v>
      </c>
      <c r="M105" s="11" t="s">
        <v>254</v>
      </c>
    </row>
    <row r="106" spans="2:13" ht="89.25" hidden="1" customHeight="1" x14ac:dyDescent="0.25">
      <c r="B106" s="24" t="s">
        <v>86</v>
      </c>
      <c r="C106" s="25" t="s">
        <v>87</v>
      </c>
      <c r="D106" s="189">
        <v>350</v>
      </c>
      <c r="E106" s="189"/>
      <c r="F106" s="27">
        <f>SUM(F107)</f>
        <v>0</v>
      </c>
      <c r="G106" s="27">
        <f t="shared" ref="G106:H106" si="21">SUM(G107)</f>
        <v>0</v>
      </c>
      <c r="H106" s="27">
        <f t="shared" si="21"/>
        <v>0</v>
      </c>
      <c r="I106" s="50" t="s">
        <v>32</v>
      </c>
      <c r="J106" t="s">
        <v>255</v>
      </c>
      <c r="K106" s="48"/>
      <c r="L106" s="48"/>
    </row>
    <row r="107" spans="2:13" ht="30" hidden="1" customHeight="1" x14ac:dyDescent="0.25">
      <c r="B107" s="35" t="s">
        <v>66</v>
      </c>
      <c r="C107" s="25"/>
      <c r="D107" s="189"/>
      <c r="E107" s="189"/>
      <c r="F107" s="27"/>
      <c r="G107" s="27"/>
      <c r="H107" s="27"/>
      <c r="I107" s="50" t="s">
        <v>32</v>
      </c>
      <c r="K107" s="48"/>
      <c r="L107" s="48"/>
    </row>
    <row r="108" spans="2:13" ht="30.75" hidden="1" customHeight="1" x14ac:dyDescent="0.25">
      <c r="B108" s="24" t="s">
        <v>88</v>
      </c>
      <c r="C108" s="25" t="s">
        <v>89</v>
      </c>
      <c r="D108" s="189">
        <v>360</v>
      </c>
      <c r="E108" s="189"/>
      <c r="F108" s="27">
        <f>SUM(F109)</f>
        <v>0</v>
      </c>
      <c r="G108" s="27">
        <f t="shared" ref="G108:H108" si="22">SUM(G109)</f>
        <v>0</v>
      </c>
      <c r="H108" s="27">
        <f t="shared" si="22"/>
        <v>0</v>
      </c>
      <c r="I108" s="50" t="s">
        <v>32</v>
      </c>
      <c r="J108" t="s">
        <v>255</v>
      </c>
      <c r="K108" s="48"/>
      <c r="L108" s="48"/>
    </row>
    <row r="109" spans="2:13" ht="30" hidden="1" customHeight="1" x14ac:dyDescent="0.25">
      <c r="B109" s="35" t="s">
        <v>66</v>
      </c>
      <c r="C109" s="25"/>
      <c r="D109" s="189"/>
      <c r="E109" s="189"/>
      <c r="F109" s="27"/>
      <c r="G109" s="27"/>
      <c r="H109" s="27"/>
      <c r="I109" s="50" t="s">
        <v>32</v>
      </c>
      <c r="K109" s="48"/>
      <c r="L109" s="48"/>
    </row>
    <row r="110" spans="2:13" hidden="1" x14ac:dyDescent="0.25">
      <c r="B110" s="24" t="s">
        <v>90</v>
      </c>
      <c r="C110" s="25" t="s">
        <v>91</v>
      </c>
      <c r="D110" s="189">
        <v>850</v>
      </c>
      <c r="E110" s="189"/>
      <c r="F110" s="27">
        <f>SUM(F111,F114,F117)</f>
        <v>2276957</v>
      </c>
      <c r="G110" s="27">
        <f t="shared" ref="G110:H110" si="23">SUM(G111,G114,G117)</f>
        <v>1296119</v>
      </c>
      <c r="H110" s="27">
        <f t="shared" si="23"/>
        <v>1296119</v>
      </c>
      <c r="I110" s="50" t="s">
        <v>32</v>
      </c>
      <c r="K110" s="48"/>
      <c r="L110" s="48"/>
    </row>
    <row r="111" spans="2:13" ht="45" hidden="1" x14ac:dyDescent="0.25">
      <c r="B111" s="24" t="s">
        <v>92</v>
      </c>
      <c r="C111" s="25" t="s">
        <v>93</v>
      </c>
      <c r="D111" s="189">
        <v>851</v>
      </c>
      <c r="E111" s="189"/>
      <c r="F111" s="27">
        <f>SUM(F112:F113)</f>
        <v>2276957</v>
      </c>
      <c r="G111" s="27">
        <f t="shared" ref="G111:H111" si="24">SUM(G112:G113)</f>
        <v>1296119</v>
      </c>
      <c r="H111" s="27">
        <f t="shared" si="24"/>
        <v>1296119</v>
      </c>
      <c r="I111" s="50" t="s">
        <v>32</v>
      </c>
      <c r="K111" s="48"/>
      <c r="L111" s="48"/>
    </row>
    <row r="112" spans="2:13" ht="77.25" hidden="1" customHeight="1" x14ac:dyDescent="0.25">
      <c r="B112" s="35" t="s">
        <v>225</v>
      </c>
      <c r="C112" s="25" t="s">
        <v>256</v>
      </c>
      <c r="D112" s="189">
        <v>851</v>
      </c>
      <c r="E112" s="189"/>
      <c r="F112" s="27">
        <f>'Утверждено (МЗ,ИЦ,КАП)'!I88+'Утверждено (МЗ,ИЦ,КАП)'!I89</f>
        <v>2276957</v>
      </c>
      <c r="G112" s="27">
        <f>'Утверждено (МЗ,ИЦ,КАП)'!J88+'Утверждено (МЗ,ИЦ,КАП)'!J89</f>
        <v>1296119</v>
      </c>
      <c r="H112" s="27">
        <f>'Утверждено (МЗ,ИЦ,КАП)'!K88+'Утверждено (МЗ,ИЦ,КАП)'!K89</f>
        <v>1296119</v>
      </c>
      <c r="I112" s="50" t="s">
        <v>32</v>
      </c>
      <c r="K112" s="48">
        <v>4</v>
      </c>
      <c r="L112" s="48">
        <v>291</v>
      </c>
      <c r="M112" s="11" t="s">
        <v>257</v>
      </c>
    </row>
    <row r="113" spans="2:13" ht="409.5" hidden="1" x14ac:dyDescent="0.25">
      <c r="B113" s="24" t="s">
        <v>229</v>
      </c>
      <c r="C113" s="25" t="s">
        <v>258</v>
      </c>
      <c r="D113" s="189">
        <v>851</v>
      </c>
      <c r="E113" s="189"/>
      <c r="F113" s="27"/>
      <c r="G113" s="27"/>
      <c r="H113" s="27"/>
      <c r="I113" s="50" t="s">
        <v>32</v>
      </c>
      <c r="K113" s="48">
        <v>2</v>
      </c>
      <c r="L113" s="48">
        <v>291</v>
      </c>
      <c r="M113" s="11" t="s">
        <v>257</v>
      </c>
    </row>
    <row r="114" spans="2:13" ht="45.75" hidden="1" customHeight="1" x14ac:dyDescent="0.25">
      <c r="B114" s="24" t="s">
        <v>94</v>
      </c>
      <c r="C114" s="25" t="s">
        <v>95</v>
      </c>
      <c r="D114" s="189">
        <v>852</v>
      </c>
      <c r="E114" s="189"/>
      <c r="F114" s="27">
        <f>SUM(F115:F116)</f>
        <v>0</v>
      </c>
      <c r="G114" s="27">
        <f t="shared" ref="G114:H114" si="25">SUM(G115:G116)</f>
        <v>0</v>
      </c>
      <c r="H114" s="27">
        <f t="shared" si="25"/>
        <v>0</v>
      </c>
      <c r="I114" s="50" t="s">
        <v>32</v>
      </c>
      <c r="K114" s="48"/>
      <c r="L114" s="48"/>
    </row>
    <row r="115" spans="2:13" ht="77.25" hidden="1" customHeight="1" x14ac:dyDescent="0.25">
      <c r="B115" s="35" t="s">
        <v>225</v>
      </c>
      <c r="C115" s="25" t="s">
        <v>259</v>
      </c>
      <c r="D115" s="189">
        <v>852</v>
      </c>
      <c r="E115" s="189"/>
      <c r="F115" s="27">
        <f>'Утверждено (МЗ,ИЦ,КАП)'!I86</f>
        <v>0</v>
      </c>
      <c r="G115" s="27">
        <f>'Утверждено (МЗ,ИЦ,КАП)'!J86</f>
        <v>0</v>
      </c>
      <c r="H115" s="27">
        <f>'Утверждено (МЗ,ИЦ,КАП)'!K86</f>
        <v>0</v>
      </c>
      <c r="I115" s="50" t="s">
        <v>32</v>
      </c>
      <c r="K115" s="48">
        <v>4</v>
      </c>
      <c r="L115" s="48">
        <v>291</v>
      </c>
      <c r="M115" s="11" t="s">
        <v>260</v>
      </c>
    </row>
    <row r="116" spans="2:13" ht="409.5" hidden="1" x14ac:dyDescent="0.25">
      <c r="B116" s="24" t="s">
        <v>229</v>
      </c>
      <c r="C116" s="25" t="s">
        <v>261</v>
      </c>
      <c r="D116" s="189">
        <v>852</v>
      </c>
      <c r="E116" s="189"/>
      <c r="F116" s="27"/>
      <c r="G116" s="27"/>
      <c r="H116" s="27"/>
      <c r="I116" s="50" t="s">
        <v>32</v>
      </c>
      <c r="K116" s="48">
        <v>2</v>
      </c>
      <c r="L116" s="48">
        <v>291</v>
      </c>
      <c r="M116" s="11" t="s">
        <v>260</v>
      </c>
    </row>
    <row r="117" spans="2:13" ht="30" hidden="1" x14ac:dyDescent="0.25">
      <c r="B117" s="24" t="s">
        <v>96</v>
      </c>
      <c r="C117" s="25" t="s">
        <v>97</v>
      </c>
      <c r="D117" s="189">
        <v>853</v>
      </c>
      <c r="E117" s="189"/>
      <c r="F117" s="27">
        <f>SUM(F118:F119)</f>
        <v>0</v>
      </c>
      <c r="G117" s="27">
        <f t="shared" ref="G117:H117" si="26">SUM(G118:G119)</f>
        <v>0</v>
      </c>
      <c r="H117" s="27">
        <f t="shared" si="26"/>
        <v>0</v>
      </c>
      <c r="I117" s="50" t="s">
        <v>32</v>
      </c>
      <c r="K117" s="48"/>
      <c r="L117" s="48"/>
    </row>
    <row r="118" spans="2:13" ht="77.25" hidden="1" customHeight="1" x14ac:dyDescent="0.25">
      <c r="B118" s="35" t="s">
        <v>225</v>
      </c>
      <c r="C118" s="25" t="s">
        <v>262</v>
      </c>
      <c r="D118" s="189">
        <v>853</v>
      </c>
      <c r="E118" s="189"/>
      <c r="F118" s="27">
        <f>'Утверждено (МЗ,ИЦ,КАП)'!I87</f>
        <v>0</v>
      </c>
      <c r="G118" s="27">
        <f>'Утверждено (МЗ,ИЦ,КАП)'!J87</f>
        <v>0</v>
      </c>
      <c r="H118" s="27">
        <f>'Утверждено (МЗ,ИЦ,КАП)'!K87</f>
        <v>0</v>
      </c>
      <c r="I118" s="50" t="s">
        <v>32</v>
      </c>
      <c r="K118" s="48">
        <v>4</v>
      </c>
      <c r="L118" s="48" t="s">
        <v>263</v>
      </c>
      <c r="M118" s="11" t="s">
        <v>264</v>
      </c>
    </row>
    <row r="119" spans="2:13" ht="409.5" hidden="1" x14ac:dyDescent="0.25">
      <c r="B119" s="24" t="s">
        <v>229</v>
      </c>
      <c r="C119" s="25" t="s">
        <v>265</v>
      </c>
      <c r="D119" s="189">
        <v>853</v>
      </c>
      <c r="E119" s="189"/>
      <c r="F119" s="27"/>
      <c r="G119" s="27"/>
      <c r="H119" s="27"/>
      <c r="I119" s="50" t="s">
        <v>32</v>
      </c>
      <c r="K119" s="48">
        <v>2</v>
      </c>
      <c r="L119" s="48" t="s">
        <v>263</v>
      </c>
      <c r="M119" s="11" t="s">
        <v>264</v>
      </c>
    </row>
    <row r="120" spans="2:13" ht="30" hidden="1" x14ac:dyDescent="0.25">
      <c r="B120" s="24" t="s">
        <v>98</v>
      </c>
      <c r="C120" s="25" t="s">
        <v>99</v>
      </c>
      <c r="D120" s="189" t="s">
        <v>32</v>
      </c>
      <c r="E120" s="189"/>
      <c r="F120" s="27">
        <f>SUM(F121,F125,F129)</f>
        <v>0</v>
      </c>
      <c r="G120" s="27">
        <f t="shared" ref="G120:H120" si="27">SUM(G121,G125,G129)</f>
        <v>0</v>
      </c>
      <c r="H120" s="27">
        <f t="shared" si="27"/>
        <v>0</v>
      </c>
      <c r="I120" s="50" t="s">
        <v>32</v>
      </c>
      <c r="K120" s="48"/>
      <c r="L120" s="48"/>
    </row>
    <row r="121" spans="2:13" ht="48" hidden="1" customHeight="1" x14ac:dyDescent="0.25">
      <c r="B121" s="24" t="s">
        <v>100</v>
      </c>
      <c r="C121" s="25" t="s">
        <v>101</v>
      </c>
      <c r="D121" s="189">
        <v>810</v>
      </c>
      <c r="E121" s="189"/>
      <c r="F121" s="27">
        <f>SUM(F122:F124)</f>
        <v>0</v>
      </c>
      <c r="G121" s="27">
        <f>SUM(G122:G124)</f>
        <v>0</v>
      </c>
      <c r="H121" s="27">
        <f>SUM(H122:H124)</f>
        <v>0</v>
      </c>
      <c r="I121" s="50" t="s">
        <v>32</v>
      </c>
      <c r="J121" t="s">
        <v>255</v>
      </c>
      <c r="K121" s="48"/>
      <c r="L121" s="48"/>
    </row>
    <row r="122" spans="2:13" ht="30" hidden="1" customHeight="1" x14ac:dyDescent="0.25">
      <c r="B122" s="24" t="s">
        <v>66</v>
      </c>
      <c r="C122" s="25"/>
      <c r="D122" s="189"/>
      <c r="E122" s="189"/>
      <c r="F122" s="27"/>
      <c r="G122" s="27"/>
      <c r="H122" s="27"/>
      <c r="I122" s="50"/>
      <c r="K122" s="48"/>
      <c r="L122" s="48"/>
    </row>
    <row r="123" spans="2:13" hidden="1" x14ac:dyDescent="0.25">
      <c r="B123" s="24"/>
      <c r="C123" s="25"/>
      <c r="D123" s="189"/>
      <c r="E123" s="189"/>
      <c r="F123" s="27"/>
      <c r="G123" s="27"/>
      <c r="H123" s="27"/>
      <c r="I123" s="50"/>
      <c r="K123" s="48"/>
      <c r="L123" s="48"/>
    </row>
    <row r="124" spans="2:13" hidden="1" x14ac:dyDescent="0.25">
      <c r="B124" s="24"/>
      <c r="C124" s="25"/>
      <c r="D124" s="189"/>
      <c r="E124" s="189"/>
      <c r="F124" s="27"/>
      <c r="G124" s="27"/>
      <c r="H124" s="27"/>
      <c r="I124" s="50"/>
      <c r="K124" s="48"/>
      <c r="L124" s="48"/>
    </row>
    <row r="125" spans="2:13" hidden="1" x14ac:dyDescent="0.25">
      <c r="B125" s="24" t="s">
        <v>102</v>
      </c>
      <c r="C125" s="25" t="s">
        <v>103</v>
      </c>
      <c r="D125" s="189">
        <v>862</v>
      </c>
      <c r="E125" s="189"/>
      <c r="F125" s="27">
        <f>SUM(F126:F128)</f>
        <v>0</v>
      </c>
      <c r="G125" s="27">
        <f>SUM(G126:G128)</f>
        <v>0</v>
      </c>
      <c r="H125" s="27">
        <f>SUM(H126:H128)</f>
        <v>0</v>
      </c>
      <c r="I125" s="50" t="s">
        <v>32</v>
      </c>
      <c r="J125" t="s">
        <v>255</v>
      </c>
      <c r="K125" s="48"/>
      <c r="L125" s="48"/>
    </row>
    <row r="126" spans="2:13" ht="30" hidden="1" customHeight="1" x14ac:dyDescent="0.25">
      <c r="B126" s="24" t="s">
        <v>66</v>
      </c>
      <c r="C126" s="25"/>
      <c r="D126" s="189"/>
      <c r="E126" s="189"/>
      <c r="F126" s="27"/>
      <c r="G126" s="27"/>
      <c r="H126" s="27"/>
      <c r="I126" s="50"/>
      <c r="K126" s="48"/>
      <c r="L126" s="48"/>
    </row>
    <row r="127" spans="2:13" hidden="1" x14ac:dyDescent="0.25">
      <c r="B127" s="24"/>
      <c r="C127" s="25"/>
      <c r="D127" s="189"/>
      <c r="E127" s="189"/>
      <c r="F127" s="27"/>
      <c r="G127" s="27"/>
      <c r="H127" s="27"/>
      <c r="I127" s="50"/>
      <c r="K127" s="48"/>
      <c r="L127" s="48"/>
    </row>
    <row r="128" spans="2:13" hidden="1" x14ac:dyDescent="0.25">
      <c r="B128" s="24"/>
      <c r="C128" s="25"/>
      <c r="D128" s="189"/>
      <c r="E128" s="189"/>
      <c r="F128" s="27"/>
      <c r="G128" s="27"/>
      <c r="H128" s="27"/>
      <c r="I128" s="50"/>
      <c r="K128" s="48"/>
      <c r="L128" s="48"/>
    </row>
    <row r="129" spans="2:13" ht="47.25" hidden="1" customHeight="1" x14ac:dyDescent="0.25">
      <c r="B129" s="24" t="s">
        <v>104</v>
      </c>
      <c r="C129" s="25" t="s">
        <v>105</v>
      </c>
      <c r="D129" s="189">
        <v>863</v>
      </c>
      <c r="E129" s="189"/>
      <c r="F129" s="27">
        <f>SUM(F130:F132)</f>
        <v>0</v>
      </c>
      <c r="G129" s="27">
        <f>SUM(G130:G132)</f>
        <v>0</v>
      </c>
      <c r="H129" s="27">
        <f>SUM(H130:H132)</f>
        <v>0</v>
      </c>
      <c r="I129" s="50" t="s">
        <v>32</v>
      </c>
      <c r="J129" t="s">
        <v>255</v>
      </c>
      <c r="K129" s="48"/>
      <c r="L129" s="48"/>
    </row>
    <row r="130" spans="2:13" ht="30" hidden="1" customHeight="1" x14ac:dyDescent="0.25">
      <c r="B130" s="24" t="s">
        <v>66</v>
      </c>
      <c r="C130" s="25"/>
      <c r="D130" s="189"/>
      <c r="E130" s="189"/>
      <c r="F130" s="27"/>
      <c r="G130" s="27"/>
      <c r="H130" s="27"/>
      <c r="I130" s="50"/>
      <c r="K130" s="48"/>
      <c r="L130" s="48"/>
    </row>
    <row r="131" spans="2:13" hidden="1" x14ac:dyDescent="0.25">
      <c r="B131" s="24"/>
      <c r="C131" s="25"/>
      <c r="D131" s="189"/>
      <c r="E131" s="189"/>
      <c r="F131" s="27"/>
      <c r="G131" s="27"/>
      <c r="H131" s="27"/>
      <c r="I131" s="50"/>
      <c r="K131" s="48"/>
      <c r="L131" s="48"/>
    </row>
    <row r="132" spans="2:13" hidden="1" x14ac:dyDescent="0.25">
      <c r="B132" s="24"/>
      <c r="C132" s="25"/>
      <c r="D132" s="189"/>
      <c r="E132" s="189"/>
      <c r="F132" s="27"/>
      <c r="G132" s="27"/>
      <c r="H132" s="27"/>
      <c r="I132" s="50"/>
      <c r="K132" s="48"/>
      <c r="L132" s="48"/>
    </row>
    <row r="133" spans="2:13" ht="30" hidden="1" x14ac:dyDescent="0.25">
      <c r="B133" s="24" t="s">
        <v>106</v>
      </c>
      <c r="C133" s="25" t="s">
        <v>107</v>
      </c>
      <c r="D133" s="189" t="s">
        <v>32</v>
      </c>
      <c r="E133" s="189"/>
      <c r="F133" s="27">
        <f>SUM(F134)</f>
        <v>0</v>
      </c>
      <c r="G133" s="27">
        <f t="shared" ref="G133:H133" si="28">SUM(G134)</f>
        <v>0</v>
      </c>
      <c r="H133" s="27">
        <f t="shared" si="28"/>
        <v>0</v>
      </c>
      <c r="I133" s="50" t="s">
        <v>32</v>
      </c>
      <c r="K133" s="48"/>
      <c r="L133" s="48"/>
    </row>
    <row r="134" spans="2:13" ht="60" hidden="1" customHeight="1" x14ac:dyDescent="0.25">
      <c r="B134" s="24" t="s">
        <v>108</v>
      </c>
      <c r="C134" s="25" t="s">
        <v>109</v>
      </c>
      <c r="D134" s="189">
        <v>831</v>
      </c>
      <c r="E134" s="189"/>
      <c r="F134" s="27">
        <f>SUM(F135:F136)</f>
        <v>0</v>
      </c>
      <c r="G134" s="27">
        <f t="shared" ref="G134:H134" si="29">SUM(G135:G136)</f>
        <v>0</v>
      </c>
      <c r="H134" s="27">
        <f t="shared" si="29"/>
        <v>0</v>
      </c>
      <c r="I134" s="50" t="s">
        <v>32</v>
      </c>
      <c r="K134" s="48"/>
      <c r="L134" s="48"/>
    </row>
    <row r="135" spans="2:13" ht="77.25" hidden="1" customHeight="1" x14ac:dyDescent="0.25">
      <c r="B135" s="35" t="s">
        <v>266</v>
      </c>
      <c r="C135" s="25" t="s">
        <v>267</v>
      </c>
      <c r="D135" s="189"/>
      <c r="E135" s="189"/>
      <c r="F135" s="27"/>
      <c r="G135" s="27"/>
      <c r="H135" s="27"/>
      <c r="I135" s="50" t="s">
        <v>32</v>
      </c>
      <c r="K135" s="48">
        <v>4</v>
      </c>
      <c r="L135" s="48" t="s">
        <v>268</v>
      </c>
      <c r="M135" s="11" t="s">
        <v>269</v>
      </c>
    </row>
    <row r="136" spans="2:13" ht="409.5" hidden="1" x14ac:dyDescent="0.25">
      <c r="B136" s="24" t="s">
        <v>270</v>
      </c>
      <c r="C136" s="25" t="s">
        <v>271</v>
      </c>
      <c r="D136" s="189"/>
      <c r="E136" s="189"/>
      <c r="F136" s="27"/>
      <c r="G136" s="27"/>
      <c r="H136" s="27"/>
      <c r="I136" s="50" t="s">
        <v>32</v>
      </c>
      <c r="K136" s="48">
        <v>2</v>
      </c>
      <c r="L136" s="48" t="s">
        <v>268</v>
      </c>
      <c r="M136" s="11" t="s">
        <v>269</v>
      </c>
    </row>
    <row r="137" spans="2:13" ht="15" hidden="1" customHeight="1" x14ac:dyDescent="0.25">
      <c r="B137" s="24" t="s">
        <v>111</v>
      </c>
      <c r="C137" s="25" t="s">
        <v>112</v>
      </c>
      <c r="D137" s="189" t="s">
        <v>32</v>
      </c>
      <c r="E137" s="189"/>
      <c r="F137" s="27" t="e">
        <f>SUM(F138,F142,F144)</f>
        <v>#REF!</v>
      </c>
      <c r="G137" s="27" t="e">
        <f t="shared" ref="G137:I137" si="30">SUM(G138,G142,G144)</f>
        <v>#REF!</v>
      </c>
      <c r="H137" s="27" t="e">
        <f t="shared" si="30"/>
        <v>#REF!</v>
      </c>
      <c r="I137" s="27">
        <f t="shared" si="30"/>
        <v>0</v>
      </c>
      <c r="K137" s="48"/>
      <c r="L137" s="48"/>
    </row>
    <row r="138" spans="2:13" ht="45" hidden="1" x14ac:dyDescent="0.25">
      <c r="B138" s="24" t="s">
        <v>113</v>
      </c>
      <c r="C138" s="25" t="s">
        <v>114</v>
      </c>
      <c r="D138" s="189">
        <v>241</v>
      </c>
      <c r="E138" s="189"/>
      <c r="F138" s="27">
        <f>SUM(F139:F141)</f>
        <v>0</v>
      </c>
      <c r="G138" s="27">
        <f t="shared" ref="G138:I138" si="31">SUM(G139:G141)</f>
        <v>0</v>
      </c>
      <c r="H138" s="27">
        <f t="shared" si="31"/>
        <v>0</v>
      </c>
      <c r="I138" s="27">
        <f t="shared" si="31"/>
        <v>0</v>
      </c>
      <c r="K138" s="48"/>
      <c r="L138" s="48"/>
    </row>
    <row r="139" spans="2:13" ht="75" hidden="1" customHeight="1" x14ac:dyDescent="0.25">
      <c r="B139" s="35" t="s">
        <v>225</v>
      </c>
      <c r="C139" s="25" t="s">
        <v>272</v>
      </c>
      <c r="D139" s="189">
        <v>241</v>
      </c>
      <c r="E139" s="189"/>
      <c r="F139" s="27"/>
      <c r="G139" s="27"/>
      <c r="H139" s="27"/>
      <c r="I139" s="50"/>
      <c r="K139" s="48">
        <v>4</v>
      </c>
      <c r="L139" s="48"/>
    </row>
    <row r="140" spans="2:13" ht="45" hidden="1" x14ac:dyDescent="0.25">
      <c r="B140" s="24" t="s">
        <v>229</v>
      </c>
      <c r="C140" s="25" t="s">
        <v>273</v>
      </c>
      <c r="D140" s="189">
        <v>241</v>
      </c>
      <c r="E140" s="189"/>
      <c r="F140" s="27"/>
      <c r="G140" s="27"/>
      <c r="H140" s="27"/>
      <c r="I140" s="50"/>
      <c r="K140" s="48">
        <v>2</v>
      </c>
      <c r="L140" s="48"/>
    </row>
    <row r="141" spans="2:13" hidden="1" x14ac:dyDescent="0.25">
      <c r="B141" s="24" t="s">
        <v>231</v>
      </c>
      <c r="C141" s="25" t="s">
        <v>274</v>
      </c>
      <c r="D141" s="189">
        <v>241</v>
      </c>
      <c r="E141" s="189"/>
      <c r="F141" s="27"/>
      <c r="G141" s="27"/>
      <c r="H141" s="27"/>
      <c r="I141" s="50"/>
      <c r="K141" s="48">
        <v>5</v>
      </c>
      <c r="L141" s="48"/>
    </row>
    <row r="142" spans="2:13" ht="45" hidden="1" x14ac:dyDescent="0.25">
      <c r="B142" s="24" t="s">
        <v>115</v>
      </c>
      <c r="C142" s="25" t="s">
        <v>116</v>
      </c>
      <c r="D142" s="189">
        <v>243</v>
      </c>
      <c r="E142" s="189"/>
      <c r="F142" s="27">
        <f>SUM(F143)</f>
        <v>0</v>
      </c>
      <c r="G142" s="27">
        <f t="shared" ref="G142:I142" si="32">SUM(G143)</f>
        <v>0</v>
      </c>
      <c r="H142" s="27">
        <f t="shared" si="32"/>
        <v>0</v>
      </c>
      <c r="I142" s="27">
        <f t="shared" si="32"/>
        <v>0</v>
      </c>
      <c r="K142" s="48"/>
      <c r="L142" s="48"/>
    </row>
    <row r="143" spans="2:13" ht="30" hidden="1" customHeight="1" x14ac:dyDescent="0.25">
      <c r="B143" s="35" t="s">
        <v>250</v>
      </c>
      <c r="C143" s="25" t="s">
        <v>275</v>
      </c>
      <c r="D143" s="189">
        <v>243</v>
      </c>
      <c r="E143" s="189"/>
      <c r="F143" s="27"/>
      <c r="G143" s="27"/>
      <c r="H143" s="27"/>
      <c r="I143" s="50"/>
      <c r="K143" s="48">
        <v>5</v>
      </c>
      <c r="L143" s="53" t="s">
        <v>276</v>
      </c>
    </row>
    <row r="144" spans="2:13" hidden="1" x14ac:dyDescent="0.25">
      <c r="B144" s="24" t="s">
        <v>117</v>
      </c>
      <c r="C144" s="25" t="s">
        <v>118</v>
      </c>
      <c r="D144" s="189">
        <v>244</v>
      </c>
      <c r="E144" s="189"/>
      <c r="F144" s="27" t="e">
        <f>SUM(F145,F149,F153)</f>
        <v>#REF!</v>
      </c>
      <c r="G144" s="27" t="e">
        <f t="shared" ref="G144:I144" si="33">SUM(G145,G149,G153)</f>
        <v>#REF!</v>
      </c>
      <c r="H144" s="27" t="e">
        <f t="shared" si="33"/>
        <v>#REF!</v>
      </c>
      <c r="I144" s="27">
        <f t="shared" si="33"/>
        <v>0</v>
      </c>
      <c r="K144" s="48"/>
      <c r="L144" s="48"/>
    </row>
    <row r="145" spans="2:12" ht="72.75" hidden="1" customHeight="1" x14ac:dyDescent="0.25">
      <c r="B145" s="35" t="s">
        <v>277</v>
      </c>
      <c r="C145" s="25" t="s">
        <v>278</v>
      </c>
      <c r="D145" s="189">
        <v>244</v>
      </c>
      <c r="E145" s="189"/>
      <c r="F145" s="27" t="e">
        <f>SUM(F146:F148)</f>
        <v>#REF!</v>
      </c>
      <c r="G145" s="27" t="e">
        <f t="shared" ref="G145:I145" si="34">SUM(G146:G148)</f>
        <v>#REF!</v>
      </c>
      <c r="H145" s="27" t="e">
        <f t="shared" si="34"/>
        <v>#REF!</v>
      </c>
      <c r="I145" s="27">
        <f t="shared" si="34"/>
        <v>0</v>
      </c>
      <c r="K145" s="48"/>
      <c r="L145" s="48"/>
    </row>
    <row r="146" spans="2:12" ht="30" hidden="1" x14ac:dyDescent="0.25">
      <c r="B146" s="54" t="s">
        <v>279</v>
      </c>
      <c r="C146" s="25"/>
      <c r="D146" s="189">
        <v>244</v>
      </c>
      <c r="E146" s="189"/>
      <c r="F146" s="27" t="e">
        <f>'Утверждено (МЗ,ИЦ,КАП)'!I13+'Утверждено (МЗ,ИЦ,КАП)'!I16+'Утверждено (МЗ,ИЦ,КАП)'!#REF!+'Утверждено (МЗ,ИЦ,КАП)'!I19+'Утверждено (МЗ,ИЦ,КАП)'!I20+'Утверждено (МЗ,ИЦ,КАП)'!I21+'Утверждено (МЗ,ИЦ,КАП)'!I57+'Утверждено (МЗ,ИЦ,КАП)'!I60+'Утверждено (МЗ,ИЦ,КАП)'!I104+'Утверждено (МЗ,ИЦ,КАП)'!I111+'Утверждено (МЗ,ИЦ,КАП)'!I120+'Утверждено (МЗ,ИЦ,КАП)'!I122+'Утверждено (МЗ,ИЦ,КАП)'!I128</f>
        <v>#REF!</v>
      </c>
      <c r="G146" s="27" t="e">
        <f>'Утверждено (МЗ,ИЦ,КАП)'!J13+'Утверждено (МЗ,ИЦ,КАП)'!J16+'Утверждено (МЗ,ИЦ,КАП)'!#REF!+'Утверждено (МЗ,ИЦ,КАП)'!J19+'Утверждено (МЗ,ИЦ,КАП)'!J20+'Утверждено (МЗ,ИЦ,КАП)'!J21+'Утверждено (МЗ,ИЦ,КАП)'!J57+'Утверждено (МЗ,ИЦ,КАП)'!J60+'Утверждено (МЗ,ИЦ,КАП)'!J104+'Утверждено (МЗ,ИЦ,КАП)'!J111+'Утверждено (МЗ,ИЦ,КАП)'!J120+'Утверждено (МЗ,ИЦ,КАП)'!J122+'Утверждено (МЗ,ИЦ,КАП)'!J128</f>
        <v>#REF!</v>
      </c>
      <c r="H146" s="27" t="e">
        <f>'Утверждено (МЗ,ИЦ,КАП)'!K13+'Утверждено (МЗ,ИЦ,КАП)'!K16+'Утверждено (МЗ,ИЦ,КАП)'!#REF!+'Утверждено (МЗ,ИЦ,КАП)'!K19+'Утверждено (МЗ,ИЦ,КАП)'!K20+'Утверждено (МЗ,ИЦ,КАП)'!K21+'Утверждено (МЗ,ИЦ,КАП)'!K57+'Утверждено (МЗ,ИЦ,КАП)'!K60+'Утверждено (МЗ,ИЦ,КАП)'!K104+'Утверждено (МЗ,ИЦ,КАП)'!K111+'Утверждено (МЗ,ИЦ,КАП)'!K120+'Утверждено (МЗ,ИЦ,КАП)'!K122+'Утверждено (МЗ,ИЦ,КАП)'!K128</f>
        <v>#REF!</v>
      </c>
      <c r="I146" s="27"/>
      <c r="K146" s="48">
        <v>4</v>
      </c>
      <c r="L146" s="48">
        <v>220</v>
      </c>
    </row>
    <row r="147" spans="2:12" hidden="1" x14ac:dyDescent="0.25">
      <c r="B147" s="54" t="s">
        <v>280</v>
      </c>
      <c r="C147" s="25"/>
      <c r="D147" s="189">
        <v>244</v>
      </c>
      <c r="E147" s="189"/>
      <c r="F147" s="27">
        <f>'Утверждено (МЗ,ИЦ,КАП)'!I90+'Утверждено (МЗ,ИЦ,КАП)'!I137</f>
        <v>94920</v>
      </c>
      <c r="G147" s="27">
        <f>'Утверждено (МЗ,ИЦ,КАП)'!J90+'Утверждено (МЗ,ИЦ,КАП)'!J137</f>
        <v>84220</v>
      </c>
      <c r="H147" s="27">
        <f>'Утверждено (МЗ,ИЦ,КАП)'!K90+'Утверждено (МЗ,ИЦ,КАП)'!K137</f>
        <v>84220</v>
      </c>
      <c r="I147" s="27"/>
      <c r="K147" s="48">
        <v>4</v>
      </c>
      <c r="L147" s="48">
        <v>310</v>
      </c>
    </row>
    <row r="148" spans="2:12" ht="15" hidden="1" customHeight="1" x14ac:dyDescent="0.25">
      <c r="B148" s="54" t="s">
        <v>281</v>
      </c>
      <c r="C148" s="25"/>
      <c r="D148" s="189">
        <v>244</v>
      </c>
      <c r="E148" s="189"/>
      <c r="F148" s="27">
        <f>'Утверждено (МЗ,ИЦ,КАП)'!I91+'Утверждено (МЗ,ИЦ,КАП)'!I145</f>
        <v>1413700</v>
      </c>
      <c r="G148" s="27">
        <f>'Утверждено (МЗ,ИЦ,КАП)'!J91+'Утверждено (МЗ,ИЦ,КАП)'!J145</f>
        <v>340456</v>
      </c>
      <c r="H148" s="27">
        <f>'Утверждено (МЗ,ИЦ,КАП)'!K91+'Утверждено (МЗ,ИЦ,КАП)'!K145</f>
        <v>340456</v>
      </c>
      <c r="I148" s="27"/>
      <c r="K148" s="48">
        <v>4</v>
      </c>
      <c r="L148" s="48">
        <v>340</v>
      </c>
    </row>
    <row r="149" spans="2:12" ht="45" hidden="1" x14ac:dyDescent="0.25">
      <c r="B149" s="24" t="s">
        <v>206</v>
      </c>
      <c r="C149" s="25" t="s">
        <v>282</v>
      </c>
      <c r="D149" s="189"/>
      <c r="E149" s="189"/>
      <c r="F149" s="27">
        <f>SUM(F150:F152)</f>
        <v>6472961.7899999991</v>
      </c>
      <c r="G149" s="27">
        <f t="shared" ref="G149:I149" si="35">SUM(G150:G152)</f>
        <v>5698110</v>
      </c>
      <c r="H149" s="27">
        <f t="shared" si="35"/>
        <v>5698110</v>
      </c>
      <c r="I149" s="27">
        <f t="shared" si="35"/>
        <v>0</v>
      </c>
      <c r="K149" s="48"/>
      <c r="L149" s="48"/>
    </row>
    <row r="150" spans="2:12" ht="30" hidden="1" x14ac:dyDescent="0.25">
      <c r="B150" s="54" t="s">
        <v>279</v>
      </c>
      <c r="C150" s="25"/>
      <c r="D150" s="189">
        <v>244</v>
      </c>
      <c r="E150" s="189"/>
      <c r="F150" s="182">
        <f>317923+1780</f>
        <v>319703</v>
      </c>
      <c r="G150" s="160">
        <f t="shared" ref="G150:H150" si="36">317923</f>
        <v>317923</v>
      </c>
      <c r="H150" s="160">
        <f t="shared" si="36"/>
        <v>317923</v>
      </c>
      <c r="I150" s="27"/>
      <c r="K150" s="48">
        <v>2</v>
      </c>
      <c r="L150" s="48">
        <v>220</v>
      </c>
    </row>
    <row r="151" spans="2:12" hidden="1" x14ac:dyDescent="0.25">
      <c r="B151" s="54" t="s">
        <v>280</v>
      </c>
      <c r="C151" s="25"/>
      <c r="D151" s="189">
        <v>244</v>
      </c>
      <c r="E151" s="189"/>
      <c r="F151" s="160">
        <f>205807+0.3</f>
        <v>205807.3</v>
      </c>
      <c r="G151" s="160">
        <v>205807</v>
      </c>
      <c r="H151" s="160">
        <v>205807</v>
      </c>
      <c r="I151" s="27"/>
      <c r="K151" s="48">
        <v>2</v>
      </c>
      <c r="L151" s="48">
        <v>310</v>
      </c>
    </row>
    <row r="152" spans="2:12" ht="15" hidden="1" customHeight="1" x14ac:dyDescent="0.25">
      <c r="B152" s="54" t="s">
        <v>281</v>
      </c>
      <c r="C152" s="25"/>
      <c r="D152" s="189">
        <v>244</v>
      </c>
      <c r="E152" s="189"/>
      <c r="F152" s="160">
        <f>5174380+13068+38778.52+9357.63+718051.81-6184.47</f>
        <v>5947451.4899999993</v>
      </c>
      <c r="G152" s="160">
        <v>5174380</v>
      </c>
      <c r="H152" s="160">
        <v>5174380</v>
      </c>
      <c r="I152" s="27"/>
      <c r="K152" s="48">
        <v>2</v>
      </c>
      <c r="L152" s="48">
        <v>340</v>
      </c>
    </row>
    <row r="153" spans="2:12" ht="15" hidden="1" customHeight="1" x14ac:dyDescent="0.25">
      <c r="B153" s="54" t="s">
        <v>283</v>
      </c>
      <c r="C153" s="25"/>
      <c r="D153" s="189"/>
      <c r="E153" s="189"/>
      <c r="F153" s="27">
        <f>SUM(F154:F156)</f>
        <v>7512</v>
      </c>
      <c r="G153" s="27">
        <f t="shared" ref="G153:I153" si="37">SUM(G154:G156)</f>
        <v>0</v>
      </c>
      <c r="H153" s="27">
        <f t="shared" si="37"/>
        <v>0</v>
      </c>
      <c r="I153" s="27">
        <f t="shared" si="37"/>
        <v>0</v>
      </c>
      <c r="K153" s="48"/>
      <c r="L153" s="48"/>
    </row>
    <row r="154" spans="2:12" ht="30" hidden="1" x14ac:dyDescent="0.25">
      <c r="B154" s="54" t="s">
        <v>279</v>
      </c>
      <c r="C154" s="25"/>
      <c r="D154" s="189">
        <v>244</v>
      </c>
      <c r="E154" s="189"/>
      <c r="F154" s="161">
        <f>'Утверждено (МЗ,ИЦ,КАП)'!I199+'Утверждено (МЗ,ИЦ,КАП)'!F208</f>
        <v>7512</v>
      </c>
      <c r="G154" s="161">
        <f>'Утверждено (МЗ,ИЦ,КАП)'!J197</f>
        <v>0</v>
      </c>
      <c r="H154" s="161">
        <f>'Утверждено (МЗ,ИЦ,КАП)'!K197</f>
        <v>0</v>
      </c>
      <c r="I154" s="27"/>
      <c r="K154" s="48">
        <v>5</v>
      </c>
      <c r="L154" s="48">
        <v>220</v>
      </c>
    </row>
    <row r="155" spans="2:12" hidden="1" x14ac:dyDescent="0.25">
      <c r="B155" s="54" t="s">
        <v>280</v>
      </c>
      <c r="C155" s="25"/>
      <c r="D155" s="189">
        <v>244</v>
      </c>
      <c r="E155" s="189"/>
      <c r="F155" s="27"/>
      <c r="G155" s="27"/>
      <c r="H155" s="27"/>
      <c r="I155" s="27"/>
      <c r="K155" s="48">
        <v>5</v>
      </c>
      <c r="L155" s="48">
        <v>310</v>
      </c>
    </row>
    <row r="156" spans="2:12" ht="15" hidden="1" customHeight="1" x14ac:dyDescent="0.25">
      <c r="B156" s="54" t="s">
        <v>281</v>
      </c>
      <c r="C156" s="25"/>
      <c r="D156" s="189">
        <v>244</v>
      </c>
      <c r="E156" s="189"/>
      <c r="F156" s="27"/>
      <c r="G156" s="27"/>
      <c r="H156" s="27"/>
      <c r="I156" s="27"/>
      <c r="K156" s="48">
        <v>5</v>
      </c>
      <c r="L156" s="48">
        <v>340</v>
      </c>
    </row>
    <row r="157" spans="2:12" ht="30" hidden="1" x14ac:dyDescent="0.25">
      <c r="B157" s="24" t="s">
        <v>120</v>
      </c>
      <c r="C157" s="25" t="s">
        <v>121</v>
      </c>
      <c r="D157" s="189">
        <v>400</v>
      </c>
      <c r="E157" s="189"/>
      <c r="F157" s="27">
        <f>SUM(F158,F160)</f>
        <v>0</v>
      </c>
      <c r="G157" s="27">
        <f t="shared" ref="G157:I157" si="38">SUM(G158,G160)</f>
        <v>0</v>
      </c>
      <c r="H157" s="27">
        <f t="shared" si="38"/>
        <v>0</v>
      </c>
      <c r="I157" s="27">
        <f t="shared" si="38"/>
        <v>0</v>
      </c>
      <c r="K157" s="48"/>
      <c r="L157" s="48"/>
    </row>
    <row r="158" spans="2:12" ht="45" hidden="1" x14ac:dyDescent="0.25">
      <c r="B158" s="24" t="s">
        <v>122</v>
      </c>
      <c r="C158" s="25" t="s">
        <v>123</v>
      </c>
      <c r="D158" s="189">
        <v>406</v>
      </c>
      <c r="E158" s="189"/>
      <c r="F158" s="27">
        <f>SUM(F159)</f>
        <v>0</v>
      </c>
      <c r="G158" s="27">
        <f t="shared" ref="G158:I158" si="39">SUM(G159)</f>
        <v>0</v>
      </c>
      <c r="H158" s="27">
        <f t="shared" si="39"/>
        <v>0</v>
      </c>
      <c r="I158" s="27">
        <f t="shared" si="39"/>
        <v>0</v>
      </c>
      <c r="K158" s="48"/>
      <c r="L158" s="48"/>
    </row>
    <row r="159" spans="2:12" ht="45" hidden="1" customHeight="1" x14ac:dyDescent="0.25">
      <c r="B159" s="24" t="s">
        <v>284</v>
      </c>
      <c r="C159" s="25"/>
      <c r="D159" s="189"/>
      <c r="E159" s="189"/>
      <c r="F159" s="27"/>
      <c r="G159" s="27"/>
      <c r="H159" s="27"/>
      <c r="I159" s="27"/>
      <c r="K159" s="48"/>
      <c r="L159" s="48"/>
    </row>
    <row r="160" spans="2:12" ht="45" hidden="1" x14ac:dyDescent="0.25">
      <c r="B160" s="24" t="s">
        <v>124</v>
      </c>
      <c r="C160" s="25" t="s">
        <v>125</v>
      </c>
      <c r="D160" s="189">
        <v>407</v>
      </c>
      <c r="E160" s="189"/>
      <c r="F160" s="27">
        <f>SUM(F161)</f>
        <v>0</v>
      </c>
      <c r="G160" s="27">
        <f t="shared" ref="G160:I160" si="40">SUM(G161)</f>
        <v>0</v>
      </c>
      <c r="H160" s="27">
        <f t="shared" si="40"/>
        <v>0</v>
      </c>
      <c r="I160" s="27">
        <f t="shared" si="40"/>
        <v>0</v>
      </c>
      <c r="K160" s="48"/>
      <c r="L160" s="48"/>
    </row>
    <row r="161" spans="1:13" ht="45" hidden="1" customHeight="1" x14ac:dyDescent="0.25">
      <c r="B161" s="24" t="s">
        <v>284</v>
      </c>
      <c r="C161" s="25"/>
      <c r="D161" s="189"/>
      <c r="E161" s="189"/>
      <c r="F161" s="27"/>
      <c r="G161" s="27"/>
      <c r="H161" s="27"/>
      <c r="I161" s="50"/>
      <c r="K161" s="48"/>
      <c r="L161" s="48"/>
    </row>
    <row r="162" spans="1:13" s="33" customFormat="1" ht="14.25" hidden="1" x14ac:dyDescent="0.2">
      <c r="A162" s="28"/>
      <c r="B162" s="29" t="s">
        <v>126</v>
      </c>
      <c r="C162" s="30" t="s">
        <v>127</v>
      </c>
      <c r="D162" s="31">
        <v>100</v>
      </c>
      <c r="E162" s="31"/>
      <c r="F162" s="32">
        <f>SUM(F163:F165)</f>
        <v>-8100</v>
      </c>
      <c r="G162" s="32">
        <f t="shared" ref="G162:H162" si="41">SUM(G163:G165)</f>
        <v>-8100</v>
      </c>
      <c r="H162" s="32">
        <f t="shared" si="41"/>
        <v>-8100</v>
      </c>
      <c r="I162" s="55" t="s">
        <v>32</v>
      </c>
      <c r="K162" s="51"/>
      <c r="L162" s="51"/>
      <c r="M162" s="45"/>
    </row>
    <row r="163" spans="1:13" ht="285" hidden="1" x14ac:dyDescent="0.25">
      <c r="B163" s="24" t="s">
        <v>128</v>
      </c>
      <c r="C163" s="25" t="s">
        <v>129</v>
      </c>
      <c r="D163" s="177">
        <v>189</v>
      </c>
      <c r="E163" s="189"/>
      <c r="F163" s="27"/>
      <c r="G163" s="27"/>
      <c r="H163" s="27"/>
      <c r="I163" s="50" t="s">
        <v>32</v>
      </c>
      <c r="K163" s="48">
        <v>2</v>
      </c>
      <c r="L163" s="48"/>
      <c r="M163" s="11" t="s">
        <v>285</v>
      </c>
    </row>
    <row r="164" spans="1:13" ht="285" hidden="1" x14ac:dyDescent="0.25">
      <c r="B164" s="24" t="s">
        <v>130</v>
      </c>
      <c r="C164" s="25" t="s">
        <v>131</v>
      </c>
      <c r="D164" s="177">
        <v>189</v>
      </c>
      <c r="E164" s="189"/>
      <c r="F164" s="160">
        <v>-8100</v>
      </c>
      <c r="G164" s="160">
        <v>-8100</v>
      </c>
      <c r="H164" s="160">
        <v>-8100</v>
      </c>
      <c r="I164" s="50" t="s">
        <v>32</v>
      </c>
      <c r="K164" s="48">
        <v>2</v>
      </c>
      <c r="L164" s="48"/>
      <c r="M164" s="11" t="s">
        <v>285</v>
      </c>
    </row>
    <row r="165" spans="1:13" hidden="1" x14ac:dyDescent="0.25">
      <c r="B165" s="24" t="s">
        <v>132</v>
      </c>
      <c r="C165" s="25" t="s">
        <v>133</v>
      </c>
      <c r="D165" s="189"/>
      <c r="E165" s="189"/>
      <c r="F165" s="27"/>
      <c r="G165" s="27"/>
      <c r="H165" s="27"/>
      <c r="I165" s="50" t="s">
        <v>32</v>
      </c>
      <c r="K165" s="48"/>
      <c r="L165" s="48"/>
    </row>
    <row r="166" spans="1:13" s="33" customFormat="1" hidden="1" x14ac:dyDescent="0.25">
      <c r="A166" s="28"/>
      <c r="B166" s="29" t="s">
        <v>134</v>
      </c>
      <c r="C166" s="30" t="s">
        <v>135</v>
      </c>
      <c r="D166" s="31" t="s">
        <v>32</v>
      </c>
      <c r="E166" s="31"/>
      <c r="F166" s="32">
        <f>F75</f>
        <v>0</v>
      </c>
      <c r="G166" s="32">
        <f t="shared" ref="G166:H166" si="42">G75</f>
        <v>0</v>
      </c>
      <c r="H166" s="32">
        <f t="shared" si="42"/>
        <v>0</v>
      </c>
      <c r="I166" s="55" t="s">
        <v>32</v>
      </c>
      <c r="K166" s="48" t="s">
        <v>222</v>
      </c>
      <c r="L166" s="48"/>
      <c r="M166" s="49" t="s">
        <v>286</v>
      </c>
    </row>
    <row r="167" spans="1:13" ht="409.5" hidden="1" x14ac:dyDescent="0.25">
      <c r="B167" s="24" t="s">
        <v>136</v>
      </c>
      <c r="C167" s="25" t="s">
        <v>137</v>
      </c>
      <c r="D167" s="189">
        <v>610</v>
      </c>
      <c r="E167" s="189">
        <v>610</v>
      </c>
      <c r="F167" s="27"/>
      <c r="G167" s="27"/>
      <c r="H167" s="27"/>
      <c r="I167" s="50" t="s">
        <v>32</v>
      </c>
      <c r="K167" s="48" t="s">
        <v>222</v>
      </c>
      <c r="L167" s="48"/>
      <c r="M167" s="11" t="s">
        <v>287</v>
      </c>
    </row>
    <row r="168" spans="1:13" hidden="1" x14ac:dyDescent="0.25">
      <c r="K168" s="48"/>
      <c r="L168" s="48"/>
    </row>
    <row r="169" spans="1:13" hidden="1" x14ac:dyDescent="0.25">
      <c r="K169" s="48"/>
      <c r="L169" s="48"/>
    </row>
    <row r="170" spans="1:13" hidden="1" x14ac:dyDescent="0.25">
      <c r="B170" s="307" t="s">
        <v>138</v>
      </c>
      <c r="C170" s="307"/>
      <c r="D170" s="307"/>
      <c r="E170" s="307"/>
      <c r="F170" s="307"/>
      <c r="G170" s="307"/>
      <c r="H170" s="307"/>
      <c r="I170" s="307"/>
      <c r="K170" s="48"/>
      <c r="L170" s="48"/>
    </row>
    <row r="171" spans="1:13" hidden="1" x14ac:dyDescent="0.25">
      <c r="K171" s="48"/>
      <c r="L171" s="48"/>
    </row>
    <row r="172" spans="1:13" hidden="1" x14ac:dyDescent="0.25">
      <c r="A172" s="306" t="s">
        <v>139</v>
      </c>
      <c r="B172" s="306" t="s">
        <v>21</v>
      </c>
      <c r="C172" s="306"/>
      <c r="D172" s="306" t="s">
        <v>140</v>
      </c>
      <c r="E172" s="306" t="s">
        <v>141</v>
      </c>
      <c r="F172" s="308" t="s">
        <v>25</v>
      </c>
      <c r="G172" s="308"/>
      <c r="H172" s="308"/>
      <c r="I172" s="308"/>
      <c r="K172" s="48"/>
      <c r="L172" s="48"/>
    </row>
    <row r="173" spans="1:13" ht="90" hidden="1" x14ac:dyDescent="0.25">
      <c r="A173" s="306"/>
      <c r="B173" s="306"/>
      <c r="C173" s="306"/>
      <c r="D173" s="306"/>
      <c r="E173" s="306"/>
      <c r="F173" s="188" t="str">
        <f>F56</f>
        <v>на 2020 г. текущий финансовый год</v>
      </c>
      <c r="G173" s="188" t="str">
        <f t="shared" ref="G173:H173" si="43">G56</f>
        <v>на 2021 г. первый год планового периода</v>
      </c>
      <c r="H173" s="188" t="str">
        <f t="shared" si="43"/>
        <v>на 2022 г. второй год планового периода</v>
      </c>
      <c r="I173" s="188" t="s">
        <v>29</v>
      </c>
      <c r="K173" s="48"/>
      <c r="L173" s="48"/>
    </row>
    <row r="174" spans="1:13" hidden="1" x14ac:dyDescent="0.25">
      <c r="A174" s="189">
        <v>1</v>
      </c>
      <c r="B174" s="306">
        <v>2</v>
      </c>
      <c r="C174" s="306"/>
      <c r="D174" s="189">
        <v>3</v>
      </c>
      <c r="E174" s="189">
        <v>4</v>
      </c>
      <c r="F174" s="189">
        <v>5</v>
      </c>
      <c r="G174" s="189">
        <v>6</v>
      </c>
      <c r="H174" s="189">
        <v>7</v>
      </c>
      <c r="I174" s="189">
        <v>8</v>
      </c>
      <c r="K174" s="48"/>
      <c r="L174" s="48"/>
    </row>
    <row r="175" spans="1:13" hidden="1" x14ac:dyDescent="0.25">
      <c r="A175" s="189" t="s">
        <v>145</v>
      </c>
      <c r="B175" s="305" t="s">
        <v>146</v>
      </c>
      <c r="C175" s="305"/>
      <c r="D175" s="189">
        <v>26000</v>
      </c>
      <c r="E175" s="189" t="s">
        <v>32</v>
      </c>
      <c r="F175" s="27" t="e">
        <f>F137</f>
        <v>#REF!</v>
      </c>
      <c r="G175" s="27" t="e">
        <f t="shared" ref="G175:I175" si="44">G137</f>
        <v>#REF!</v>
      </c>
      <c r="H175" s="27" t="e">
        <f t="shared" si="44"/>
        <v>#REF!</v>
      </c>
      <c r="I175" s="27">
        <f t="shared" si="44"/>
        <v>0</v>
      </c>
      <c r="K175" s="48"/>
      <c r="L175" s="48"/>
    </row>
    <row r="176" spans="1:13" ht="150" hidden="1" customHeight="1" x14ac:dyDescent="0.25">
      <c r="A176" s="189" t="s">
        <v>147</v>
      </c>
      <c r="B176" s="305" t="s">
        <v>148</v>
      </c>
      <c r="C176" s="305"/>
      <c r="D176" s="189">
        <v>26100</v>
      </c>
      <c r="E176" s="189" t="s">
        <v>32</v>
      </c>
      <c r="F176" s="27"/>
      <c r="G176" s="27"/>
      <c r="H176" s="27"/>
      <c r="I176" s="27"/>
      <c r="J176" s="11" t="s">
        <v>526</v>
      </c>
      <c r="K176" s="48" t="s">
        <v>222</v>
      </c>
      <c r="L176" s="48"/>
      <c r="M176" t="s">
        <v>288</v>
      </c>
    </row>
    <row r="177" spans="1:13" ht="61.5" hidden="1" customHeight="1" x14ac:dyDescent="0.25">
      <c r="A177" s="189" t="s">
        <v>149</v>
      </c>
      <c r="B177" s="305" t="s">
        <v>150</v>
      </c>
      <c r="C177" s="305"/>
      <c r="D177" s="189">
        <v>26200</v>
      </c>
      <c r="E177" s="189" t="s">
        <v>32</v>
      </c>
      <c r="F177" s="171">
        <v>5687380.75</v>
      </c>
      <c r="G177" s="171">
        <v>5687380.75</v>
      </c>
      <c r="H177" s="171">
        <v>5687380.75</v>
      </c>
      <c r="I177" s="27"/>
      <c r="J177" s="11" t="s">
        <v>526</v>
      </c>
      <c r="K177" s="48" t="s">
        <v>222</v>
      </c>
      <c r="L177" s="48"/>
      <c r="M177" s="11" t="s">
        <v>289</v>
      </c>
    </row>
    <row r="178" spans="1:13" ht="60" hidden="1" customHeight="1" x14ac:dyDescent="0.25">
      <c r="A178" s="189" t="s">
        <v>151</v>
      </c>
      <c r="B178" s="305" t="s">
        <v>152</v>
      </c>
      <c r="C178" s="305"/>
      <c r="D178" s="189">
        <v>26300</v>
      </c>
      <c r="E178" s="189" t="s">
        <v>32</v>
      </c>
      <c r="F178" s="27">
        <f>SUM(F179:F180)</f>
        <v>654837.9800000001</v>
      </c>
      <c r="G178" s="27">
        <f t="shared" ref="G178:I178" si="45">SUM(G179:G180)</f>
        <v>0</v>
      </c>
      <c r="H178" s="27">
        <f t="shared" si="45"/>
        <v>0</v>
      </c>
      <c r="I178" s="27">
        <f t="shared" si="45"/>
        <v>0</v>
      </c>
      <c r="K178" s="48" t="s">
        <v>222</v>
      </c>
      <c r="L178" s="48"/>
      <c r="M178" t="s">
        <v>288</v>
      </c>
    </row>
    <row r="179" spans="1:13" ht="29.25" hidden="1" customHeight="1" x14ac:dyDescent="0.25">
      <c r="A179" s="189"/>
      <c r="B179" s="305" t="s">
        <v>153</v>
      </c>
      <c r="C179" s="305"/>
      <c r="D179" s="189"/>
      <c r="E179" s="189"/>
      <c r="F179" s="27"/>
      <c r="G179" s="27"/>
      <c r="H179" s="27"/>
      <c r="I179" s="27"/>
      <c r="K179" s="48" t="s">
        <v>222</v>
      </c>
      <c r="L179" s="48"/>
    </row>
    <row r="180" spans="1:13" ht="16.5" hidden="1" customHeight="1" x14ac:dyDescent="0.25">
      <c r="A180" s="189"/>
      <c r="B180" s="305" t="s">
        <v>154</v>
      </c>
      <c r="C180" s="305"/>
      <c r="D180" s="189"/>
      <c r="E180" s="189"/>
      <c r="F180" s="171">
        <f>629224.52-2.6-96.2-2921.01+0-0+28633.27</f>
        <v>654837.9800000001</v>
      </c>
      <c r="G180" s="170"/>
      <c r="H180" s="170"/>
      <c r="I180" s="27"/>
      <c r="K180" s="48" t="s">
        <v>222</v>
      </c>
      <c r="L180" s="48"/>
    </row>
    <row r="181" spans="1:13" ht="59.25" hidden="1" customHeight="1" x14ac:dyDescent="0.25">
      <c r="A181" s="189" t="s">
        <v>155</v>
      </c>
      <c r="B181" s="305" t="s">
        <v>156</v>
      </c>
      <c r="C181" s="305"/>
      <c r="D181" s="189">
        <v>26400</v>
      </c>
      <c r="E181" s="189" t="s">
        <v>32</v>
      </c>
      <c r="F181" s="27" t="e">
        <f>SUM(F182,F185,F188,F189)</f>
        <v>#REF!</v>
      </c>
      <c r="G181" s="27" t="e">
        <f t="shared" ref="G181:I181" si="46">SUM(G182,G185,G188,G189)</f>
        <v>#REF!</v>
      </c>
      <c r="H181" s="27" t="e">
        <f t="shared" si="46"/>
        <v>#REF!</v>
      </c>
      <c r="I181" s="27">
        <f t="shared" si="46"/>
        <v>0</v>
      </c>
      <c r="K181" s="48" t="s">
        <v>222</v>
      </c>
      <c r="L181" s="48"/>
      <c r="M181" s="11" t="s">
        <v>289</v>
      </c>
    </row>
    <row r="182" spans="1:13" ht="45.75" hidden="1" customHeight="1" x14ac:dyDescent="0.25">
      <c r="A182" s="189" t="s">
        <v>157</v>
      </c>
      <c r="B182" s="305" t="s">
        <v>158</v>
      </c>
      <c r="C182" s="305"/>
      <c r="D182" s="189">
        <v>26410</v>
      </c>
      <c r="E182" s="189" t="s">
        <v>32</v>
      </c>
      <c r="F182" s="27" t="e">
        <f>SUM(F183:F184)</f>
        <v>#REF!</v>
      </c>
      <c r="G182" s="27" t="e">
        <f t="shared" ref="G182:I182" si="47">SUM(G183:G184)</f>
        <v>#REF!</v>
      </c>
      <c r="H182" s="27" t="e">
        <f t="shared" si="47"/>
        <v>#REF!</v>
      </c>
      <c r="I182" s="27">
        <f t="shared" si="47"/>
        <v>0</v>
      </c>
      <c r="K182" s="48">
        <v>4</v>
      </c>
      <c r="L182" s="48"/>
    </row>
    <row r="183" spans="1:13" ht="29.25" hidden="1" customHeight="1" x14ac:dyDescent="0.25">
      <c r="A183" s="189" t="s">
        <v>159</v>
      </c>
      <c r="B183" s="305" t="s">
        <v>153</v>
      </c>
      <c r="C183" s="305"/>
      <c r="D183" s="189">
        <v>26411</v>
      </c>
      <c r="E183" s="189" t="s">
        <v>32</v>
      </c>
      <c r="F183" s="27"/>
      <c r="G183" s="27"/>
      <c r="H183" s="27"/>
      <c r="I183" s="27"/>
      <c r="K183" s="48"/>
      <c r="L183" s="48"/>
    </row>
    <row r="184" spans="1:13" ht="16.5" hidden="1" customHeight="1" x14ac:dyDescent="0.25">
      <c r="A184" s="189" t="s">
        <v>160</v>
      </c>
      <c r="B184" s="305" t="s">
        <v>154</v>
      </c>
      <c r="C184" s="305"/>
      <c r="D184" s="189">
        <v>26412</v>
      </c>
      <c r="E184" s="189" t="s">
        <v>32</v>
      </c>
      <c r="F184" s="171" t="e">
        <f>F145-916306-(0+615962.84)</f>
        <v>#REF!</v>
      </c>
      <c r="G184" s="171" t="e">
        <f>G145-916306-G180</f>
        <v>#REF!</v>
      </c>
      <c r="H184" s="171" t="e">
        <f>H145-916306-H180</f>
        <v>#REF!</v>
      </c>
      <c r="I184" s="27"/>
      <c r="K184" s="48"/>
      <c r="L184" s="48"/>
    </row>
    <row r="185" spans="1:13" ht="46.5" hidden="1" customHeight="1" x14ac:dyDescent="0.25">
      <c r="A185" s="189" t="s">
        <v>161</v>
      </c>
      <c r="B185" s="305" t="s">
        <v>162</v>
      </c>
      <c r="C185" s="305"/>
      <c r="D185" s="189">
        <v>26420</v>
      </c>
      <c r="E185" s="189" t="s">
        <v>32</v>
      </c>
      <c r="F185" s="27">
        <f>SUM(F186:F187)</f>
        <v>-21121.27</v>
      </c>
      <c r="G185" s="27">
        <f t="shared" ref="G185:I185" si="48">SUM(G186:G187)</f>
        <v>0</v>
      </c>
      <c r="H185" s="27">
        <f t="shared" si="48"/>
        <v>0</v>
      </c>
      <c r="I185" s="27">
        <f t="shared" si="48"/>
        <v>0</v>
      </c>
      <c r="K185" s="48">
        <v>5</v>
      </c>
      <c r="L185" s="48"/>
    </row>
    <row r="186" spans="1:13" ht="30.75" hidden="1" customHeight="1" x14ac:dyDescent="0.25">
      <c r="A186" s="189" t="s">
        <v>163</v>
      </c>
      <c r="B186" s="305" t="s">
        <v>153</v>
      </c>
      <c r="C186" s="305"/>
      <c r="D186" s="189">
        <v>26421</v>
      </c>
      <c r="E186" s="189" t="s">
        <v>32</v>
      </c>
      <c r="F186" s="27"/>
      <c r="G186" s="27"/>
      <c r="H186" s="27"/>
      <c r="I186" s="27"/>
      <c r="K186" s="48"/>
      <c r="L186" s="48"/>
    </row>
    <row r="187" spans="1:13" hidden="1" x14ac:dyDescent="0.25">
      <c r="A187" s="189" t="s">
        <v>164</v>
      </c>
      <c r="B187" s="305" t="s">
        <v>154</v>
      </c>
      <c r="C187" s="305"/>
      <c r="D187" s="189">
        <v>26422</v>
      </c>
      <c r="E187" s="189" t="s">
        <v>32</v>
      </c>
      <c r="F187" s="171">
        <f>F154-0-28633.27</f>
        <v>-21121.27</v>
      </c>
      <c r="G187" s="171">
        <f t="shared" ref="G187:H187" si="49">G154</f>
        <v>0</v>
      </c>
      <c r="H187" s="171">
        <f t="shared" si="49"/>
        <v>0</v>
      </c>
      <c r="I187" s="27"/>
      <c r="K187" s="48"/>
      <c r="L187" s="48"/>
    </row>
    <row r="188" spans="1:13" ht="30" hidden="1" customHeight="1" x14ac:dyDescent="0.25">
      <c r="A188" s="189" t="s">
        <v>165</v>
      </c>
      <c r="B188" s="305" t="s">
        <v>166</v>
      </c>
      <c r="C188" s="305"/>
      <c r="D188" s="189">
        <v>26430</v>
      </c>
      <c r="E188" s="189" t="s">
        <v>32</v>
      </c>
      <c r="F188" s="27"/>
      <c r="G188" s="27"/>
      <c r="H188" s="27"/>
      <c r="I188" s="27"/>
      <c r="K188" s="48">
        <v>6</v>
      </c>
      <c r="L188" s="48"/>
      <c r="M188" s="11" t="s">
        <v>290</v>
      </c>
    </row>
    <row r="189" spans="1:13" hidden="1" x14ac:dyDescent="0.25">
      <c r="A189" s="189" t="s">
        <v>167</v>
      </c>
      <c r="B189" s="305" t="s">
        <v>168</v>
      </c>
      <c r="C189" s="305"/>
      <c r="D189" s="189">
        <v>26450</v>
      </c>
      <c r="E189" s="189" t="s">
        <v>32</v>
      </c>
      <c r="F189" s="27">
        <f>SUM(F190:F191)</f>
        <v>1691645.169999999</v>
      </c>
      <c r="G189" s="27">
        <f t="shared" ref="G189:I189" si="50">SUM(G190:G191)</f>
        <v>927035.25</v>
      </c>
      <c r="H189" s="27">
        <f t="shared" si="50"/>
        <v>927035.25</v>
      </c>
      <c r="I189" s="27">
        <f t="shared" si="50"/>
        <v>0</v>
      </c>
      <c r="K189" s="48">
        <v>2</v>
      </c>
      <c r="L189" s="48"/>
    </row>
    <row r="190" spans="1:13" ht="30.75" hidden="1" customHeight="1" x14ac:dyDescent="0.25">
      <c r="A190" s="189" t="s">
        <v>169</v>
      </c>
      <c r="B190" s="305" t="s">
        <v>153</v>
      </c>
      <c r="C190" s="305"/>
      <c r="D190" s="189">
        <v>26451</v>
      </c>
      <c r="E190" s="189" t="s">
        <v>32</v>
      </c>
      <c r="F190" s="27"/>
      <c r="G190" s="27"/>
      <c r="H190" s="27"/>
      <c r="I190" s="27"/>
      <c r="K190" s="48"/>
      <c r="L190" s="48"/>
    </row>
    <row r="191" spans="1:13" hidden="1" x14ac:dyDescent="0.25">
      <c r="A191" s="189" t="s">
        <v>170</v>
      </c>
      <c r="B191" s="305" t="s">
        <v>154</v>
      </c>
      <c r="C191" s="305"/>
      <c r="D191" s="189">
        <v>26452</v>
      </c>
      <c r="E191" s="189" t="s">
        <v>32</v>
      </c>
      <c r="F191" s="171">
        <f>F149-4771074.75-(0+(13261.68-2.6-96.2-2921.01)-0)</f>
        <v>1691645.169999999</v>
      </c>
      <c r="G191" s="171">
        <f>G149-4771074.75</f>
        <v>927035.25</v>
      </c>
      <c r="H191" s="171">
        <f>H149-4771074.75</f>
        <v>927035.25</v>
      </c>
      <c r="I191" s="27"/>
      <c r="K191" s="48"/>
      <c r="L191" s="48"/>
    </row>
    <row r="192" spans="1:13" ht="61.5" hidden="1" customHeight="1" x14ac:dyDescent="0.25">
      <c r="A192" s="189" t="s">
        <v>171</v>
      </c>
      <c r="B192" s="305" t="s">
        <v>172</v>
      </c>
      <c r="C192" s="305"/>
      <c r="D192" s="189">
        <v>26500</v>
      </c>
      <c r="E192" s="189" t="s">
        <v>32</v>
      </c>
      <c r="F192" s="27">
        <f>F183+F186+F188+F190</f>
        <v>0</v>
      </c>
      <c r="G192" s="27">
        <f t="shared" ref="G192:I192" si="51">G183+G186+G188+G190</f>
        <v>0</v>
      </c>
      <c r="H192" s="27">
        <f t="shared" si="51"/>
        <v>0</v>
      </c>
      <c r="I192" s="27">
        <f t="shared" si="51"/>
        <v>0</v>
      </c>
      <c r="K192" s="48" t="s">
        <v>202</v>
      </c>
      <c r="L192" s="48"/>
      <c r="M192" s="11" t="s">
        <v>291</v>
      </c>
    </row>
    <row r="193" spans="1:13" ht="30" hidden="1" customHeight="1" x14ac:dyDescent="0.25">
      <c r="A193" s="26"/>
      <c r="B193" s="305" t="s">
        <v>292</v>
      </c>
      <c r="C193" s="305"/>
      <c r="D193" s="189">
        <v>26510</v>
      </c>
      <c r="E193" s="189">
        <v>2020</v>
      </c>
      <c r="F193" s="27"/>
      <c r="G193" s="27"/>
      <c r="H193" s="27"/>
      <c r="I193" s="27"/>
      <c r="K193" s="48"/>
      <c r="L193" s="48"/>
    </row>
    <row r="194" spans="1:13" hidden="1" x14ac:dyDescent="0.25">
      <c r="A194" s="26"/>
      <c r="B194" s="352" t="s">
        <v>293</v>
      </c>
      <c r="C194" s="353"/>
      <c r="D194" s="189">
        <v>26520</v>
      </c>
      <c r="E194" s="189">
        <v>2021</v>
      </c>
      <c r="F194" s="27"/>
      <c r="G194" s="27"/>
      <c r="H194" s="27"/>
      <c r="I194" s="27"/>
      <c r="K194" s="48"/>
      <c r="L194" s="48"/>
    </row>
    <row r="195" spans="1:13" hidden="1" x14ac:dyDescent="0.25">
      <c r="A195" s="26"/>
      <c r="B195" s="352" t="s">
        <v>294</v>
      </c>
      <c r="C195" s="353"/>
      <c r="D195" s="189">
        <v>26530</v>
      </c>
      <c r="E195" s="189">
        <v>2022</v>
      </c>
      <c r="F195" s="27"/>
      <c r="G195" s="27"/>
      <c r="H195" s="27"/>
      <c r="I195" s="27"/>
      <c r="K195" s="48"/>
      <c r="L195" s="48"/>
    </row>
    <row r="196" spans="1:13" ht="60.75" hidden="1" customHeight="1" x14ac:dyDescent="0.25">
      <c r="A196" s="189" t="s">
        <v>174</v>
      </c>
      <c r="B196" s="305" t="s">
        <v>175</v>
      </c>
      <c r="C196" s="305"/>
      <c r="D196" s="189">
        <v>26600</v>
      </c>
      <c r="E196" s="189" t="s">
        <v>32</v>
      </c>
      <c r="F196" s="27" t="e">
        <f>F184+F187+F191</f>
        <v>#REF!</v>
      </c>
      <c r="G196" s="27" t="e">
        <f>G184+G187+G191</f>
        <v>#REF!</v>
      </c>
      <c r="H196" s="27" t="e">
        <f t="shared" ref="H196:I196" si="52">H184+H187+H191</f>
        <v>#REF!</v>
      </c>
      <c r="I196" s="27">
        <f t="shared" si="52"/>
        <v>0</v>
      </c>
      <c r="K196" s="48" t="s">
        <v>222</v>
      </c>
      <c r="L196" s="48"/>
      <c r="M196" s="11" t="s">
        <v>291</v>
      </c>
    </row>
    <row r="197" spans="1:13" ht="30" hidden="1" customHeight="1" x14ac:dyDescent="0.25">
      <c r="A197" s="26"/>
      <c r="B197" s="305" t="s">
        <v>292</v>
      </c>
      <c r="C197" s="305"/>
      <c r="D197" s="189">
        <v>26610</v>
      </c>
      <c r="E197" s="189">
        <v>2020</v>
      </c>
      <c r="F197" s="173" t="e">
        <f>F181</f>
        <v>#REF!</v>
      </c>
      <c r="G197" s="171">
        <v>11281.36</v>
      </c>
      <c r="H197" s="27"/>
      <c r="I197" s="27"/>
      <c r="K197" s="48"/>
      <c r="L197" s="48"/>
    </row>
    <row r="198" spans="1:13" hidden="1" x14ac:dyDescent="0.25">
      <c r="A198" s="26"/>
      <c r="B198" s="352" t="s">
        <v>293</v>
      </c>
      <c r="C198" s="353"/>
      <c r="D198" s="189">
        <v>26620</v>
      </c>
      <c r="E198" s="189">
        <v>2021</v>
      </c>
      <c r="F198" s="27"/>
      <c r="G198" s="173" t="e">
        <f>G181-G197</f>
        <v>#REF!</v>
      </c>
      <c r="H198" s="171">
        <v>11281.36</v>
      </c>
      <c r="I198" s="27"/>
      <c r="K198" s="48"/>
      <c r="L198" s="48"/>
    </row>
    <row r="199" spans="1:13" hidden="1" x14ac:dyDescent="0.25">
      <c r="A199" s="26"/>
      <c r="B199" s="352" t="s">
        <v>294</v>
      </c>
      <c r="C199" s="353"/>
      <c r="D199" s="189">
        <v>26630</v>
      </c>
      <c r="E199" s="189">
        <v>2022</v>
      </c>
      <c r="F199" s="27"/>
      <c r="G199" s="27"/>
      <c r="H199" s="173" t="e">
        <f>H181-H198</f>
        <v>#REF!</v>
      </c>
      <c r="I199" s="27"/>
      <c r="K199" s="48"/>
      <c r="L199" s="48"/>
    </row>
    <row r="200" spans="1:13" hidden="1" x14ac:dyDescent="0.25">
      <c r="K200" s="48"/>
      <c r="L200" s="48"/>
    </row>
    <row r="201" spans="1:13" hidden="1" x14ac:dyDescent="0.25">
      <c r="K201" s="48"/>
      <c r="L201" s="48"/>
    </row>
    <row r="202" spans="1:13" s="1" customFormat="1" hidden="1" x14ac:dyDescent="0.25">
      <c r="B202" s="5" t="s">
        <v>176</v>
      </c>
      <c r="C202" s="325" t="s">
        <v>449</v>
      </c>
      <c r="D202" s="325"/>
      <c r="E202" s="37"/>
      <c r="F202" s="355" t="s">
        <v>450</v>
      </c>
      <c r="G202" s="355"/>
      <c r="J202"/>
      <c r="K202" s="48"/>
      <c r="L202" s="48"/>
      <c r="M202" s="11"/>
    </row>
    <row r="203" spans="1:13" s="1" customFormat="1" hidden="1" x14ac:dyDescent="0.25">
      <c r="B203" s="5"/>
      <c r="C203" s="301" t="s">
        <v>178</v>
      </c>
      <c r="D203" s="301"/>
      <c r="E203" s="183" t="s">
        <v>179</v>
      </c>
      <c r="F203" s="301" t="s">
        <v>180</v>
      </c>
      <c r="G203" s="301"/>
      <c r="J203"/>
      <c r="K203" s="48"/>
      <c r="L203" s="48"/>
      <c r="M203" s="11"/>
    </row>
    <row r="204" spans="1:13" hidden="1" x14ac:dyDescent="0.25">
      <c r="K204" s="48"/>
      <c r="L204" s="48"/>
    </row>
    <row r="205" spans="1:13" s="1" customFormat="1" hidden="1" x14ac:dyDescent="0.25">
      <c r="B205" s="5" t="s">
        <v>181</v>
      </c>
      <c r="C205" s="304" t="s">
        <v>611</v>
      </c>
      <c r="D205" s="304"/>
      <c r="E205" s="354" t="s">
        <v>610</v>
      </c>
      <c r="F205" s="354"/>
      <c r="G205" s="169" t="s">
        <v>527</v>
      </c>
      <c r="J205"/>
      <c r="K205" s="48"/>
      <c r="L205" s="48"/>
      <c r="M205" s="11"/>
    </row>
    <row r="206" spans="1:13" s="1" customFormat="1" hidden="1" x14ac:dyDescent="0.25">
      <c r="B206" s="5"/>
      <c r="C206" s="301" t="s">
        <v>182</v>
      </c>
      <c r="D206" s="301"/>
      <c r="E206" s="301" t="s">
        <v>183</v>
      </c>
      <c r="F206" s="301"/>
      <c r="G206" s="183" t="s">
        <v>184</v>
      </c>
      <c r="J206"/>
      <c r="K206" s="48"/>
      <c r="L206" s="48"/>
      <c r="M206" s="11"/>
    </row>
    <row r="207" spans="1:13" hidden="1" x14ac:dyDescent="0.25">
      <c r="K207" s="48"/>
      <c r="L207" s="48"/>
    </row>
    <row r="208" spans="1:13" s="1" customFormat="1" hidden="1" x14ac:dyDescent="0.25">
      <c r="B208" s="2" t="str">
        <f>C32</f>
        <v>« 07 »  февраля   2020 г.</v>
      </c>
      <c r="J208"/>
      <c r="K208" s="48"/>
      <c r="L208" s="48"/>
      <c r="M208" s="11"/>
    </row>
    <row r="209" spans="1:46" hidden="1" x14ac:dyDescent="0.25">
      <c r="K209" s="48"/>
      <c r="L209" s="48"/>
    </row>
    <row r="210" spans="1:46" hidden="1" x14ac:dyDescent="0.25"/>
    <row r="211" spans="1:46" hidden="1" x14ac:dyDescent="0.25">
      <c r="B211" s="2" t="s">
        <v>295</v>
      </c>
      <c r="D211" s="1" t="s">
        <v>528</v>
      </c>
      <c r="F211" s="56" t="e">
        <f>F175-F176-F177-F178-F181</f>
        <v>#REF!</v>
      </c>
      <c r="G211" s="56" t="e">
        <f t="shared" ref="G211:I211" si="53">G175-G176-G177-G178-G181</f>
        <v>#REF!</v>
      </c>
      <c r="H211" s="56" t="e">
        <f t="shared" si="53"/>
        <v>#REF!</v>
      </c>
      <c r="I211" s="56">
        <f t="shared" si="53"/>
        <v>0</v>
      </c>
    </row>
    <row r="212" spans="1:46" hidden="1" x14ac:dyDescent="0.25">
      <c r="D212" s="57">
        <v>26500</v>
      </c>
      <c r="F212" s="56">
        <f>F192-F193-F194-F195</f>
        <v>0</v>
      </c>
      <c r="G212" s="56">
        <f t="shared" ref="G212:I212" si="54">G192-G193-G194-G195</f>
        <v>0</v>
      </c>
      <c r="H212" s="56">
        <f t="shared" si="54"/>
        <v>0</v>
      </c>
      <c r="I212" s="56">
        <f t="shared" si="54"/>
        <v>0</v>
      </c>
    </row>
    <row r="213" spans="1:46" hidden="1" x14ac:dyDescent="0.25">
      <c r="D213" s="57">
        <v>26600</v>
      </c>
      <c r="F213" s="56" t="e">
        <f>F196-F197-F198-F199</f>
        <v>#REF!</v>
      </c>
      <c r="G213" s="56" t="e">
        <f t="shared" ref="G213:I213" si="55">G196-G197-G198-G199</f>
        <v>#REF!</v>
      </c>
      <c r="H213" s="56" t="e">
        <f t="shared" si="55"/>
        <v>#REF!</v>
      </c>
      <c r="I213" s="56">
        <f t="shared" si="55"/>
        <v>0</v>
      </c>
    </row>
    <row r="214" spans="1:46" hidden="1" x14ac:dyDescent="0.25">
      <c r="D214" s="162">
        <v>26000</v>
      </c>
      <c r="E214" s="163"/>
      <c r="F214" s="164" t="e">
        <f>F175-F176-F177-F178-F181</f>
        <v>#REF!</v>
      </c>
      <c r="G214" s="164" t="e">
        <f t="shared" ref="G214:I214" si="56">G175-G176-G177-G178-G181</f>
        <v>#REF!</v>
      </c>
      <c r="H214" s="164" t="e">
        <f t="shared" si="56"/>
        <v>#REF!</v>
      </c>
      <c r="I214" s="164">
        <f t="shared" si="56"/>
        <v>0</v>
      </c>
    </row>
    <row r="215" spans="1:46" hidden="1" x14ac:dyDescent="0.25">
      <c r="D215" s="162"/>
      <c r="E215" s="163"/>
      <c r="F215" s="164"/>
      <c r="G215" s="164"/>
      <c r="H215" s="164"/>
      <c r="I215" s="164"/>
    </row>
    <row r="216" spans="1:46" s="142" customFormat="1" hidden="1" x14ac:dyDescent="0.25">
      <c r="A216" s="152"/>
      <c r="B216" s="153" t="s">
        <v>465</v>
      </c>
      <c r="C216" s="152"/>
      <c r="D216" s="152" t="s">
        <v>451</v>
      </c>
      <c r="E216" s="152"/>
      <c r="F216" s="154">
        <f>F81+F85+F88+F92+F96+F101+F113+F116+F119+F136+F140+F149</f>
        <v>6871895.7899999991</v>
      </c>
      <c r="G216" s="154">
        <f>G81+G85+G88+G92+G96+G101+G113+G116+G119+G136+G140+G149</f>
        <v>6097044</v>
      </c>
      <c r="H216" s="154">
        <f>H81+H85+H88+H92+H96+H101+H113+H116+H119+H136+H140+H149</f>
        <v>6097044</v>
      </c>
      <c r="I216" s="154"/>
      <c r="K216" s="155"/>
      <c r="L216" s="155"/>
      <c r="M216" s="156"/>
    </row>
    <row r="217" spans="1:46" s="142" customFormat="1" hidden="1" x14ac:dyDescent="0.25">
      <c r="A217" s="152"/>
      <c r="B217" s="153"/>
      <c r="C217" s="152"/>
      <c r="D217" s="152" t="s">
        <v>452</v>
      </c>
      <c r="E217" s="152"/>
      <c r="F217" s="154" t="e">
        <f>F80+F84+F87+F91+F95+F100+F112+F115+F118+F135+F139+F145</f>
        <v>#REF!</v>
      </c>
      <c r="G217" s="154" t="e">
        <f>G80+G84+G87+G91+G95+G100+G112+G115+G118+G135+G139+G145</f>
        <v>#REF!</v>
      </c>
      <c r="H217" s="154" t="e">
        <f>H80+H84+H87+H91+H95+H100+H112+H115+H118+H135+H139+H145</f>
        <v>#REF!</v>
      </c>
      <c r="I217" s="152"/>
      <c r="K217" s="155"/>
      <c r="L217" s="155"/>
      <c r="M217" s="156"/>
    </row>
    <row r="218" spans="1:46" s="142" customFormat="1" hidden="1" x14ac:dyDescent="0.25">
      <c r="A218" s="152"/>
      <c r="B218" s="153"/>
      <c r="C218" s="152"/>
      <c r="D218" s="152" t="s">
        <v>453</v>
      </c>
      <c r="E218" s="152"/>
      <c r="F218" s="154">
        <f>F82+F93+F103+F105+F141+F143+F153</f>
        <v>7512</v>
      </c>
      <c r="G218" s="154">
        <f>G82+G93+G103+G105+G141+G143+G153</f>
        <v>0</v>
      </c>
      <c r="H218" s="154">
        <f>H82+H93+H103+H105+H141+H143+H153</f>
        <v>0</v>
      </c>
      <c r="I218" s="152"/>
      <c r="K218" s="155"/>
      <c r="L218" s="155"/>
      <c r="M218" s="156"/>
    </row>
    <row r="220" spans="1:46" x14ac:dyDescent="0.25">
      <c r="B220" s="372" t="s">
        <v>21</v>
      </c>
      <c r="C220" s="372"/>
      <c r="D220" s="372"/>
      <c r="E220" s="372"/>
      <c r="F220" s="372"/>
      <c r="G220" s="372"/>
      <c r="H220" s="372"/>
      <c r="I220" s="372"/>
      <c r="J220" s="372"/>
      <c r="K220" s="371" t="s">
        <v>22</v>
      </c>
      <c r="L220" s="371"/>
      <c r="M220" s="371"/>
      <c r="N220" s="371" t="s">
        <v>529</v>
      </c>
      <c r="O220" s="371"/>
      <c r="P220" s="371"/>
      <c r="Q220" s="373" t="s">
        <v>530</v>
      </c>
      <c r="R220" s="373"/>
      <c r="S220" s="373"/>
      <c r="T220" s="373"/>
      <c r="U220" s="373"/>
      <c r="V220" s="373"/>
      <c r="W220" s="373"/>
      <c r="X220" s="373"/>
      <c r="Y220" s="373"/>
      <c r="Z220" s="373"/>
      <c r="AA220" s="373"/>
      <c r="AB220" s="373"/>
      <c r="AC220" s="373"/>
      <c r="AD220" s="373"/>
      <c r="AE220" s="373"/>
      <c r="AF220" s="373"/>
      <c r="AG220" s="373"/>
      <c r="AH220" s="373"/>
      <c r="AI220" s="373"/>
      <c r="AJ220" s="373"/>
      <c r="AK220" s="373"/>
      <c r="AL220" s="373"/>
      <c r="AM220" s="373"/>
      <c r="AN220" s="373"/>
      <c r="AO220" s="373"/>
      <c r="AP220" s="373"/>
      <c r="AQ220" s="373"/>
      <c r="AR220" s="373"/>
      <c r="AS220" s="373"/>
      <c r="AT220" s="373"/>
    </row>
    <row r="221" spans="1:46" x14ac:dyDescent="0.25">
      <c r="B221" s="372"/>
      <c r="C221" s="372"/>
      <c r="D221" s="372"/>
      <c r="E221" s="372"/>
      <c r="F221" s="372"/>
      <c r="G221" s="372"/>
      <c r="H221" s="372"/>
      <c r="I221" s="372"/>
      <c r="J221" s="372"/>
      <c r="K221" s="371"/>
      <c r="L221" s="371"/>
      <c r="M221" s="371"/>
      <c r="N221" s="371"/>
      <c r="O221" s="371"/>
      <c r="P221" s="371"/>
      <c r="Q221" s="373" t="s">
        <v>531</v>
      </c>
      <c r="R221" s="373"/>
      <c r="S221" s="373"/>
      <c r="T221" s="373"/>
      <c r="U221" s="373"/>
      <c r="V221" s="373" t="s">
        <v>532</v>
      </c>
      <c r="W221" s="373"/>
      <c r="X221" s="373"/>
      <c r="Y221" s="373"/>
      <c r="Z221" s="373"/>
      <c r="AA221" s="373"/>
      <c r="AB221" s="373"/>
      <c r="AC221" s="373"/>
      <c r="AD221" s="373"/>
      <c r="AE221" s="373"/>
      <c r="AF221" s="373"/>
      <c r="AG221" s="373"/>
      <c r="AH221" s="373"/>
      <c r="AI221" s="373"/>
      <c r="AJ221" s="373"/>
      <c r="AK221" s="373"/>
      <c r="AL221" s="373"/>
      <c r="AM221" s="373"/>
      <c r="AN221" s="373"/>
      <c r="AO221" s="373"/>
      <c r="AP221" s="373"/>
      <c r="AQ221" s="373"/>
      <c r="AR221" s="373"/>
      <c r="AS221" s="373"/>
      <c r="AT221" s="373"/>
    </row>
    <row r="222" spans="1:46" x14ac:dyDescent="0.25">
      <c r="B222" s="372"/>
      <c r="C222" s="372"/>
      <c r="D222" s="372"/>
      <c r="E222" s="372"/>
      <c r="F222" s="372"/>
      <c r="G222" s="372"/>
      <c r="H222" s="372"/>
      <c r="I222" s="372"/>
      <c r="J222" s="372"/>
      <c r="K222" s="371"/>
      <c r="L222" s="371"/>
      <c r="M222" s="371"/>
      <c r="N222" s="371"/>
      <c r="O222" s="371"/>
      <c r="P222" s="371"/>
      <c r="Q222" s="373"/>
      <c r="R222" s="373"/>
      <c r="S222" s="373"/>
      <c r="T222" s="373"/>
      <c r="U222" s="373"/>
      <c r="V222" s="371" t="s">
        <v>533</v>
      </c>
      <c r="W222" s="371"/>
      <c r="X222" s="371"/>
      <c r="Y222" s="371"/>
      <c r="Z222" s="371"/>
      <c r="AA222" s="371" t="s">
        <v>534</v>
      </c>
      <c r="AB222" s="371"/>
      <c r="AC222" s="371"/>
      <c r="AD222" s="371"/>
      <c r="AE222" s="371" t="s">
        <v>535</v>
      </c>
      <c r="AF222" s="371"/>
      <c r="AG222" s="371"/>
      <c r="AH222" s="371"/>
      <c r="AI222" s="371" t="s">
        <v>536</v>
      </c>
      <c r="AJ222" s="371"/>
      <c r="AK222" s="371"/>
      <c r="AL222" s="371"/>
      <c r="AM222" s="371" t="s">
        <v>537</v>
      </c>
      <c r="AN222" s="371"/>
      <c r="AO222" s="371"/>
      <c r="AP222" s="371"/>
      <c r="AQ222" s="371"/>
      <c r="AR222" s="371"/>
      <c r="AS222" s="371"/>
      <c r="AT222" s="371"/>
    </row>
    <row r="223" spans="1:46" x14ac:dyDescent="0.25">
      <c r="B223" s="372"/>
      <c r="C223" s="372"/>
      <c r="D223" s="372"/>
      <c r="E223" s="372"/>
      <c r="F223" s="372"/>
      <c r="G223" s="372"/>
      <c r="H223" s="372"/>
      <c r="I223" s="372"/>
      <c r="J223" s="372"/>
      <c r="K223" s="371"/>
      <c r="L223" s="371"/>
      <c r="M223" s="371"/>
      <c r="N223" s="371"/>
      <c r="O223" s="371"/>
      <c r="P223" s="371"/>
      <c r="Q223" s="373"/>
      <c r="R223" s="373"/>
      <c r="S223" s="373"/>
      <c r="T223" s="373"/>
      <c r="U223" s="373"/>
      <c r="V223" s="371"/>
      <c r="W223" s="371"/>
      <c r="X223" s="371"/>
      <c r="Y223" s="371"/>
      <c r="Z223" s="371"/>
      <c r="AA223" s="371"/>
      <c r="AB223" s="371"/>
      <c r="AC223" s="371"/>
      <c r="AD223" s="371"/>
      <c r="AE223" s="371"/>
      <c r="AF223" s="371"/>
      <c r="AG223" s="371"/>
      <c r="AH223" s="371"/>
      <c r="AI223" s="371"/>
      <c r="AJ223" s="371"/>
      <c r="AK223" s="371"/>
      <c r="AL223" s="371"/>
      <c r="AM223" s="371" t="s">
        <v>531</v>
      </c>
      <c r="AN223" s="371"/>
      <c r="AO223" s="371"/>
      <c r="AP223" s="371"/>
      <c r="AQ223" s="371" t="s">
        <v>538</v>
      </c>
      <c r="AR223" s="371"/>
      <c r="AS223" s="371"/>
      <c r="AT223" s="371"/>
    </row>
    <row r="224" spans="1:46" x14ac:dyDescent="0.25">
      <c r="B224" s="374">
        <v>1</v>
      </c>
      <c r="C224" s="375"/>
      <c r="D224" s="375"/>
      <c r="E224" s="375"/>
      <c r="F224" s="375"/>
      <c r="G224" s="375"/>
      <c r="H224" s="375"/>
      <c r="I224" s="375"/>
      <c r="J224" s="376"/>
      <c r="K224" s="377">
        <v>2</v>
      </c>
      <c r="L224" s="377"/>
      <c r="M224" s="377"/>
      <c r="N224" s="377">
        <v>3</v>
      </c>
      <c r="O224" s="377"/>
      <c r="P224" s="377"/>
      <c r="Q224" s="377">
        <v>4</v>
      </c>
      <c r="R224" s="377"/>
      <c r="S224" s="377"/>
      <c r="T224" s="377"/>
      <c r="U224" s="377"/>
      <c r="V224" s="377">
        <v>5</v>
      </c>
      <c r="W224" s="377"/>
      <c r="X224" s="377"/>
      <c r="Y224" s="377"/>
      <c r="Z224" s="377"/>
      <c r="AA224" s="374">
        <v>6</v>
      </c>
      <c r="AB224" s="375"/>
      <c r="AC224" s="375"/>
      <c r="AD224" s="376"/>
      <c r="AE224" s="374">
        <v>7</v>
      </c>
      <c r="AF224" s="375"/>
      <c r="AG224" s="375"/>
      <c r="AH224" s="376"/>
      <c r="AI224" s="374">
        <v>8</v>
      </c>
      <c r="AJ224" s="375"/>
      <c r="AK224" s="375"/>
      <c r="AL224" s="376"/>
      <c r="AM224" s="374">
        <v>9</v>
      </c>
      <c r="AN224" s="375"/>
      <c r="AO224" s="375"/>
      <c r="AP224" s="376"/>
      <c r="AQ224" s="374">
        <v>10</v>
      </c>
      <c r="AR224" s="375"/>
      <c r="AS224" s="375"/>
      <c r="AT224" s="376"/>
    </row>
    <row r="225" spans="2:48" ht="15.75" thickBot="1" x14ac:dyDescent="0.3">
      <c r="B225" s="368" t="s">
        <v>539</v>
      </c>
      <c r="C225" s="369"/>
      <c r="D225" s="369"/>
      <c r="E225" s="369"/>
      <c r="F225" s="369"/>
      <c r="G225" s="369"/>
      <c r="H225" s="369"/>
      <c r="I225" s="369"/>
      <c r="J225" s="369"/>
      <c r="K225" s="369"/>
      <c r="L225" s="369"/>
      <c r="M225" s="369"/>
      <c r="N225" s="369"/>
      <c r="O225" s="369"/>
      <c r="P225" s="369"/>
      <c r="Q225" s="369"/>
      <c r="R225" s="369"/>
      <c r="S225" s="369"/>
      <c r="T225" s="369"/>
      <c r="U225" s="369"/>
      <c r="V225" s="369"/>
      <c r="W225" s="369"/>
      <c r="X225" s="369"/>
      <c r="Y225" s="369"/>
      <c r="Z225" s="369"/>
      <c r="AA225" s="369"/>
      <c r="AB225" s="369"/>
      <c r="AC225" s="369"/>
      <c r="AD225" s="369"/>
      <c r="AE225" s="369"/>
      <c r="AF225" s="369"/>
      <c r="AG225" s="369"/>
      <c r="AH225" s="369"/>
      <c r="AI225" s="369"/>
      <c r="AJ225" s="369"/>
      <c r="AK225" s="369"/>
      <c r="AL225" s="369"/>
      <c r="AM225" s="369"/>
      <c r="AN225" s="369"/>
      <c r="AO225" s="369"/>
      <c r="AP225" s="369"/>
      <c r="AQ225" s="369"/>
      <c r="AR225" s="369"/>
      <c r="AS225" s="369"/>
      <c r="AT225" s="370"/>
    </row>
    <row r="226" spans="2:48" ht="15.75" thickBot="1" x14ac:dyDescent="0.3">
      <c r="B226" s="362" t="s">
        <v>540</v>
      </c>
      <c r="C226" s="363"/>
      <c r="D226" s="363"/>
      <c r="E226" s="363"/>
      <c r="F226" s="363"/>
      <c r="G226" s="363"/>
      <c r="H226" s="363"/>
      <c r="I226" s="363"/>
      <c r="J226" s="364"/>
      <c r="K226" s="365">
        <v>100</v>
      </c>
      <c r="L226" s="365"/>
      <c r="M226" s="365"/>
      <c r="N226" s="366" t="s">
        <v>32</v>
      </c>
      <c r="O226" s="366"/>
      <c r="P226" s="366"/>
      <c r="Q226" s="367">
        <f>Q227+Q229+Q230+Q231+Q232+Q233+Q234</f>
        <v>63418564.920000002</v>
      </c>
      <c r="R226" s="367"/>
      <c r="S226" s="367"/>
      <c r="T226" s="367"/>
      <c r="U226" s="367"/>
      <c r="V226" s="367">
        <f>V229</f>
        <v>55690637.219999999</v>
      </c>
      <c r="W226" s="367"/>
      <c r="X226" s="367"/>
      <c r="Y226" s="367"/>
      <c r="Z226" s="367"/>
      <c r="AA226" s="402">
        <f>AA231</f>
        <v>1630883.6999999997</v>
      </c>
      <c r="AB226" s="402"/>
      <c r="AC226" s="402"/>
      <c r="AD226" s="402"/>
      <c r="AE226" s="367">
        <f>AE232</f>
        <v>0</v>
      </c>
      <c r="AF226" s="367"/>
      <c r="AG226" s="367"/>
      <c r="AH226" s="367"/>
      <c r="AI226" s="367">
        <f>AI229</f>
        <v>0</v>
      </c>
      <c r="AJ226" s="367"/>
      <c r="AK226" s="367"/>
      <c r="AL226" s="367"/>
      <c r="AM226" s="403">
        <f>AM229+AM230+AM231+AM233+AM227</f>
        <v>6097044</v>
      </c>
      <c r="AN226" s="403"/>
      <c r="AO226" s="403"/>
      <c r="AP226" s="403"/>
      <c r="AQ226" s="367">
        <f>AQ229+AQ233</f>
        <v>0</v>
      </c>
      <c r="AR226" s="367"/>
      <c r="AS226" s="367"/>
      <c r="AT226" s="384"/>
      <c r="AU226" s="165">
        <f>Q226-(F60+F162)</f>
        <v>0</v>
      </c>
      <c r="AV226" s="166" t="s">
        <v>541</v>
      </c>
    </row>
    <row r="227" spans="2:48" x14ac:dyDescent="0.25">
      <c r="B227" s="356" t="s">
        <v>542</v>
      </c>
      <c r="C227" s="357"/>
      <c r="D227" s="357"/>
      <c r="E227" s="357"/>
      <c r="F227" s="357"/>
      <c r="G227" s="357"/>
      <c r="H227" s="357"/>
      <c r="I227" s="357"/>
      <c r="J227" s="358"/>
      <c r="K227" s="365">
        <v>110</v>
      </c>
      <c r="L227" s="365"/>
      <c r="M227" s="365"/>
      <c r="N227" s="365">
        <v>120</v>
      </c>
      <c r="O227" s="365"/>
      <c r="P227" s="365"/>
      <c r="Q227" s="367">
        <f>AM227</f>
        <v>0</v>
      </c>
      <c r="R227" s="367"/>
      <c r="S227" s="367"/>
      <c r="T227" s="367"/>
      <c r="U227" s="367"/>
      <c r="V227" s="367" t="s">
        <v>32</v>
      </c>
      <c r="W227" s="367"/>
      <c r="X227" s="367"/>
      <c r="Y227" s="367"/>
      <c r="Z227" s="367"/>
      <c r="AA227" s="367" t="s">
        <v>32</v>
      </c>
      <c r="AB227" s="367"/>
      <c r="AC227" s="367"/>
      <c r="AD227" s="367"/>
      <c r="AE227" s="367" t="s">
        <v>32</v>
      </c>
      <c r="AF227" s="367"/>
      <c r="AG227" s="367"/>
      <c r="AH227" s="367"/>
      <c r="AI227" s="367" t="s">
        <v>32</v>
      </c>
      <c r="AJ227" s="367"/>
      <c r="AK227" s="367"/>
      <c r="AL227" s="384"/>
      <c r="AM227" s="499">
        <f>F61</f>
        <v>0</v>
      </c>
      <c r="AN227" s="500"/>
      <c r="AO227" s="500"/>
      <c r="AP227" s="501"/>
      <c r="AQ227" s="378" t="s">
        <v>32</v>
      </c>
      <c r="AR227" s="367"/>
      <c r="AS227" s="367"/>
      <c r="AT227" s="367"/>
    </row>
    <row r="228" spans="2:48" ht="15.75" thickBot="1" x14ac:dyDescent="0.3">
      <c r="B228" s="359" t="s">
        <v>543</v>
      </c>
      <c r="C228" s="360"/>
      <c r="D228" s="360"/>
      <c r="E228" s="360"/>
      <c r="F228" s="360"/>
      <c r="G228" s="360"/>
      <c r="H228" s="360"/>
      <c r="I228" s="360"/>
      <c r="J228" s="361"/>
      <c r="K228" s="365"/>
      <c r="L228" s="365"/>
      <c r="M228" s="365"/>
      <c r="N228" s="365"/>
      <c r="O228" s="365"/>
      <c r="P228" s="365"/>
      <c r="Q228" s="367"/>
      <c r="R228" s="367"/>
      <c r="S228" s="367"/>
      <c r="T228" s="367"/>
      <c r="U228" s="367"/>
      <c r="V228" s="403"/>
      <c r="W228" s="403"/>
      <c r="X228" s="403"/>
      <c r="Y228" s="403"/>
      <c r="Z228" s="403"/>
      <c r="AA228" s="367"/>
      <c r="AB228" s="367"/>
      <c r="AC228" s="367"/>
      <c r="AD228" s="367"/>
      <c r="AE228" s="367"/>
      <c r="AF228" s="367"/>
      <c r="AG228" s="367"/>
      <c r="AH228" s="367"/>
      <c r="AI228" s="367"/>
      <c r="AJ228" s="367"/>
      <c r="AK228" s="367"/>
      <c r="AL228" s="384"/>
      <c r="AM228" s="502"/>
      <c r="AN228" s="503"/>
      <c r="AO228" s="503"/>
      <c r="AP228" s="504"/>
      <c r="AQ228" s="378"/>
      <c r="AR228" s="367"/>
      <c r="AS228" s="367"/>
      <c r="AT228" s="367"/>
    </row>
    <row r="229" spans="2:48" ht="15.75" thickBot="1" x14ac:dyDescent="0.3">
      <c r="B229" s="379" t="s">
        <v>544</v>
      </c>
      <c r="C229" s="380"/>
      <c r="D229" s="380"/>
      <c r="E229" s="380"/>
      <c r="F229" s="380"/>
      <c r="G229" s="380"/>
      <c r="H229" s="380"/>
      <c r="I229" s="380"/>
      <c r="J229" s="381"/>
      <c r="K229" s="365">
        <v>120</v>
      </c>
      <c r="L229" s="365"/>
      <c r="M229" s="365"/>
      <c r="N229" s="365">
        <v>130</v>
      </c>
      <c r="O229" s="365"/>
      <c r="P229" s="365"/>
      <c r="Q229" s="367">
        <f>V229+AI229+AM229+AQ229</f>
        <v>61487681.219999999</v>
      </c>
      <c r="R229" s="367"/>
      <c r="S229" s="367"/>
      <c r="T229" s="367"/>
      <c r="U229" s="384"/>
      <c r="V229" s="385">
        <f>F63</f>
        <v>55690637.219999999</v>
      </c>
      <c r="W229" s="386"/>
      <c r="X229" s="386"/>
      <c r="Y229" s="386"/>
      <c r="Z229" s="387"/>
      <c r="AA229" s="378" t="s">
        <v>32</v>
      </c>
      <c r="AB229" s="367"/>
      <c r="AC229" s="367"/>
      <c r="AD229" s="367"/>
      <c r="AE229" s="367" t="s">
        <v>32</v>
      </c>
      <c r="AF229" s="367"/>
      <c r="AG229" s="367"/>
      <c r="AH229" s="367"/>
      <c r="AI229" s="367"/>
      <c r="AJ229" s="367"/>
      <c r="AK229" s="367"/>
      <c r="AL229" s="384"/>
      <c r="AM229" s="388">
        <f>F64-8100</f>
        <v>5797044</v>
      </c>
      <c r="AN229" s="389"/>
      <c r="AO229" s="389"/>
      <c r="AP229" s="390"/>
      <c r="AQ229" s="378"/>
      <c r="AR229" s="367"/>
      <c r="AS229" s="367"/>
      <c r="AT229" s="367"/>
    </row>
    <row r="230" spans="2:48" ht="15.75" thickBot="1" x14ac:dyDescent="0.3">
      <c r="B230" s="379" t="s">
        <v>421</v>
      </c>
      <c r="C230" s="380"/>
      <c r="D230" s="380"/>
      <c r="E230" s="380"/>
      <c r="F230" s="380"/>
      <c r="G230" s="380"/>
      <c r="H230" s="380"/>
      <c r="I230" s="380"/>
      <c r="J230" s="381"/>
      <c r="K230" s="365">
        <v>130</v>
      </c>
      <c r="L230" s="365"/>
      <c r="M230" s="365"/>
      <c r="N230" s="365">
        <v>140</v>
      </c>
      <c r="O230" s="365"/>
      <c r="P230" s="365"/>
      <c r="Q230" s="367">
        <f>AM230</f>
        <v>0</v>
      </c>
      <c r="R230" s="367"/>
      <c r="S230" s="367"/>
      <c r="T230" s="367"/>
      <c r="U230" s="367"/>
      <c r="V230" s="382" t="s">
        <v>32</v>
      </c>
      <c r="W230" s="382"/>
      <c r="X230" s="382"/>
      <c r="Y230" s="382"/>
      <c r="Z230" s="382"/>
      <c r="AA230" s="367" t="s">
        <v>32</v>
      </c>
      <c r="AB230" s="367"/>
      <c r="AC230" s="367"/>
      <c r="AD230" s="367"/>
      <c r="AE230" s="367" t="s">
        <v>32</v>
      </c>
      <c r="AF230" s="367"/>
      <c r="AG230" s="367"/>
      <c r="AH230" s="367"/>
      <c r="AI230" s="367" t="s">
        <v>32</v>
      </c>
      <c r="AJ230" s="367"/>
      <c r="AK230" s="367"/>
      <c r="AL230" s="367"/>
      <c r="AM230" s="383">
        <f>F65</f>
        <v>0</v>
      </c>
      <c r="AN230" s="383"/>
      <c r="AO230" s="383"/>
      <c r="AP230" s="383"/>
      <c r="AQ230" s="367" t="s">
        <v>32</v>
      </c>
      <c r="AR230" s="367"/>
      <c r="AS230" s="367"/>
      <c r="AT230" s="367"/>
    </row>
    <row r="231" spans="2:48" ht="15.75" thickBot="1" x14ac:dyDescent="0.3">
      <c r="B231" s="379" t="s">
        <v>545</v>
      </c>
      <c r="C231" s="380"/>
      <c r="D231" s="380"/>
      <c r="E231" s="380"/>
      <c r="F231" s="380"/>
      <c r="G231" s="380"/>
      <c r="H231" s="380"/>
      <c r="I231" s="380"/>
      <c r="J231" s="381"/>
      <c r="K231" s="365">
        <v>140</v>
      </c>
      <c r="L231" s="365"/>
      <c r="M231" s="365"/>
      <c r="N231" s="365">
        <v>150</v>
      </c>
      <c r="O231" s="365"/>
      <c r="P231" s="365"/>
      <c r="Q231" s="402">
        <f>AM231+AA231</f>
        <v>1930883.6999999997</v>
      </c>
      <c r="R231" s="402"/>
      <c r="S231" s="402"/>
      <c r="T231" s="402"/>
      <c r="U231" s="402"/>
      <c r="V231" s="367" t="s">
        <v>32</v>
      </c>
      <c r="W231" s="367"/>
      <c r="X231" s="367"/>
      <c r="Y231" s="367"/>
      <c r="Z231" s="367"/>
      <c r="AA231" s="395">
        <f>F68</f>
        <v>1630883.6999999997</v>
      </c>
      <c r="AB231" s="395"/>
      <c r="AC231" s="395"/>
      <c r="AD231" s="395"/>
      <c r="AE231" s="403" t="s">
        <v>32</v>
      </c>
      <c r="AF231" s="403"/>
      <c r="AG231" s="403"/>
      <c r="AH231" s="403"/>
      <c r="AI231" s="367" t="s">
        <v>32</v>
      </c>
      <c r="AJ231" s="367"/>
      <c r="AK231" s="367"/>
      <c r="AL231" s="384"/>
      <c r="AM231" s="385">
        <f>F67</f>
        <v>300000</v>
      </c>
      <c r="AN231" s="386"/>
      <c r="AO231" s="386"/>
      <c r="AP231" s="387"/>
      <c r="AQ231" s="378" t="s">
        <v>32</v>
      </c>
      <c r="AR231" s="367"/>
      <c r="AS231" s="367"/>
      <c r="AT231" s="367"/>
    </row>
    <row r="232" spans="2:48" ht="15.75" thickBot="1" x14ac:dyDescent="0.3">
      <c r="B232" s="379" t="s">
        <v>546</v>
      </c>
      <c r="C232" s="380"/>
      <c r="D232" s="380"/>
      <c r="E232" s="380"/>
      <c r="F232" s="380"/>
      <c r="G232" s="380"/>
      <c r="H232" s="380"/>
      <c r="I232" s="380"/>
      <c r="J232" s="381"/>
      <c r="K232" s="365">
        <v>150</v>
      </c>
      <c r="L232" s="365"/>
      <c r="M232" s="365"/>
      <c r="N232" s="391">
        <v>180</v>
      </c>
      <c r="O232" s="392"/>
      <c r="P232" s="393"/>
      <c r="Q232" s="384">
        <v>0</v>
      </c>
      <c r="R232" s="394"/>
      <c r="S232" s="394"/>
      <c r="T232" s="394"/>
      <c r="U232" s="378"/>
      <c r="V232" s="384" t="s">
        <v>32</v>
      </c>
      <c r="W232" s="394"/>
      <c r="X232" s="394"/>
      <c r="Y232" s="394"/>
      <c r="Z232" s="394"/>
      <c r="AA232" s="395" t="s">
        <v>32</v>
      </c>
      <c r="AB232" s="395"/>
      <c r="AC232" s="395"/>
      <c r="AD232" s="395"/>
      <c r="AE232" s="396">
        <f>F71</f>
        <v>0</v>
      </c>
      <c r="AF232" s="397"/>
      <c r="AG232" s="397"/>
      <c r="AH232" s="398"/>
      <c r="AI232" s="394" t="s">
        <v>32</v>
      </c>
      <c r="AJ232" s="394"/>
      <c r="AK232" s="394"/>
      <c r="AL232" s="378"/>
      <c r="AM232" s="399" t="s">
        <v>32</v>
      </c>
      <c r="AN232" s="400"/>
      <c r="AO232" s="400"/>
      <c r="AP232" s="401"/>
      <c r="AQ232" s="384" t="s">
        <v>32</v>
      </c>
      <c r="AR232" s="394"/>
      <c r="AS232" s="394"/>
      <c r="AT232" s="378"/>
    </row>
    <row r="233" spans="2:48" ht="15.75" thickBot="1" x14ac:dyDescent="0.3">
      <c r="B233" s="379" t="s">
        <v>547</v>
      </c>
      <c r="C233" s="380"/>
      <c r="D233" s="380"/>
      <c r="E233" s="380"/>
      <c r="F233" s="380"/>
      <c r="G233" s="380"/>
      <c r="H233" s="380"/>
      <c r="I233" s="380"/>
      <c r="J233" s="381"/>
      <c r="K233" s="365">
        <v>160</v>
      </c>
      <c r="L233" s="365"/>
      <c r="M233" s="365"/>
      <c r="N233" s="391">
        <v>180</v>
      </c>
      <c r="O233" s="392"/>
      <c r="P233" s="393"/>
      <c r="Q233" s="384">
        <f>AM233+AQ233</f>
        <v>0</v>
      </c>
      <c r="R233" s="394"/>
      <c r="S233" s="394"/>
      <c r="T233" s="394"/>
      <c r="U233" s="378"/>
      <c r="V233" s="384" t="s">
        <v>32</v>
      </c>
      <c r="W233" s="394"/>
      <c r="X233" s="394"/>
      <c r="Y233" s="394"/>
      <c r="Z233" s="378"/>
      <c r="AA233" s="384" t="s">
        <v>32</v>
      </c>
      <c r="AB233" s="394"/>
      <c r="AC233" s="394"/>
      <c r="AD233" s="378"/>
      <c r="AE233" s="404" t="s">
        <v>32</v>
      </c>
      <c r="AF233" s="405"/>
      <c r="AG233" s="405"/>
      <c r="AH233" s="406"/>
      <c r="AI233" s="384" t="s">
        <v>32</v>
      </c>
      <c r="AJ233" s="394"/>
      <c r="AK233" s="394"/>
      <c r="AL233" s="394"/>
      <c r="AM233" s="396"/>
      <c r="AN233" s="397"/>
      <c r="AO233" s="397"/>
      <c r="AP233" s="398"/>
      <c r="AQ233" s="394"/>
      <c r="AR233" s="394"/>
      <c r="AS233" s="394"/>
      <c r="AT233" s="378"/>
    </row>
    <row r="234" spans="2:48" ht="15.75" thickBot="1" x14ac:dyDescent="0.3">
      <c r="B234" s="379" t="s">
        <v>548</v>
      </c>
      <c r="C234" s="380"/>
      <c r="D234" s="380"/>
      <c r="E234" s="380"/>
      <c r="F234" s="380"/>
      <c r="G234" s="380"/>
      <c r="H234" s="380"/>
      <c r="I234" s="380"/>
      <c r="J234" s="381"/>
      <c r="K234" s="365">
        <v>180</v>
      </c>
      <c r="L234" s="365"/>
      <c r="M234" s="365"/>
      <c r="N234" s="407" t="s">
        <v>32</v>
      </c>
      <c r="O234" s="408"/>
      <c r="P234" s="409"/>
      <c r="Q234" s="384">
        <f>Q235+Q237</f>
        <v>0</v>
      </c>
      <c r="R234" s="394"/>
      <c r="S234" s="394"/>
      <c r="T234" s="394"/>
      <c r="U234" s="378"/>
      <c r="V234" s="384" t="s">
        <v>32</v>
      </c>
      <c r="W234" s="394"/>
      <c r="X234" s="394"/>
      <c r="Y234" s="394"/>
      <c r="Z234" s="378"/>
      <c r="AA234" s="384" t="s">
        <v>32</v>
      </c>
      <c r="AB234" s="394"/>
      <c r="AC234" s="394"/>
      <c r="AD234" s="378"/>
      <c r="AE234" s="384" t="s">
        <v>32</v>
      </c>
      <c r="AF234" s="394"/>
      <c r="AG234" s="394"/>
      <c r="AH234" s="378"/>
      <c r="AI234" s="384" t="s">
        <v>32</v>
      </c>
      <c r="AJ234" s="394"/>
      <c r="AK234" s="394"/>
      <c r="AL234" s="378"/>
      <c r="AM234" s="399">
        <f>AM235+AM237</f>
        <v>0</v>
      </c>
      <c r="AN234" s="400"/>
      <c r="AO234" s="400"/>
      <c r="AP234" s="401"/>
      <c r="AQ234" s="384" t="s">
        <v>32</v>
      </c>
      <c r="AR234" s="394"/>
      <c r="AS234" s="394"/>
      <c r="AT234" s="378"/>
    </row>
    <row r="235" spans="2:48" x14ac:dyDescent="0.25">
      <c r="B235" s="356" t="s">
        <v>549</v>
      </c>
      <c r="C235" s="357"/>
      <c r="D235" s="357"/>
      <c r="E235" s="357"/>
      <c r="F235" s="357"/>
      <c r="G235" s="357"/>
      <c r="H235" s="357"/>
      <c r="I235" s="357"/>
      <c r="J235" s="358"/>
      <c r="K235" s="410">
        <v>181</v>
      </c>
      <c r="L235" s="411"/>
      <c r="M235" s="412"/>
      <c r="N235" s="410">
        <v>410</v>
      </c>
      <c r="O235" s="411"/>
      <c r="P235" s="412"/>
      <c r="Q235" s="416">
        <f>AM235</f>
        <v>0</v>
      </c>
      <c r="R235" s="417"/>
      <c r="S235" s="417"/>
      <c r="T235" s="417"/>
      <c r="U235" s="418"/>
      <c r="V235" s="416" t="s">
        <v>32</v>
      </c>
      <c r="W235" s="417"/>
      <c r="X235" s="417"/>
      <c r="Y235" s="417"/>
      <c r="Z235" s="418"/>
      <c r="AA235" s="416" t="s">
        <v>32</v>
      </c>
      <c r="AB235" s="417"/>
      <c r="AC235" s="417"/>
      <c r="AD235" s="418"/>
      <c r="AE235" s="416" t="s">
        <v>32</v>
      </c>
      <c r="AF235" s="417"/>
      <c r="AG235" s="417"/>
      <c r="AH235" s="418"/>
      <c r="AI235" s="416" t="s">
        <v>32</v>
      </c>
      <c r="AJ235" s="417"/>
      <c r="AK235" s="417"/>
      <c r="AL235" s="417"/>
      <c r="AM235" s="425">
        <f>F73</f>
        <v>0</v>
      </c>
      <c r="AN235" s="426"/>
      <c r="AO235" s="426"/>
      <c r="AP235" s="427"/>
      <c r="AQ235" s="417" t="s">
        <v>32</v>
      </c>
      <c r="AR235" s="417"/>
      <c r="AS235" s="417"/>
      <c r="AT235" s="418"/>
    </row>
    <row r="236" spans="2:48" ht="15.75" thickBot="1" x14ac:dyDescent="0.3">
      <c r="B236" s="359" t="s">
        <v>550</v>
      </c>
      <c r="C236" s="360"/>
      <c r="D236" s="360"/>
      <c r="E236" s="360"/>
      <c r="F236" s="360"/>
      <c r="G236" s="360"/>
      <c r="H236" s="360"/>
      <c r="I236" s="360"/>
      <c r="J236" s="361"/>
      <c r="K236" s="413"/>
      <c r="L236" s="414"/>
      <c r="M236" s="415"/>
      <c r="N236" s="413"/>
      <c r="O236" s="414"/>
      <c r="P236" s="415"/>
      <c r="Q236" s="404"/>
      <c r="R236" s="405"/>
      <c r="S236" s="405"/>
      <c r="T236" s="405"/>
      <c r="U236" s="406"/>
      <c r="V236" s="404"/>
      <c r="W236" s="405"/>
      <c r="X236" s="405"/>
      <c r="Y236" s="405"/>
      <c r="Z236" s="406"/>
      <c r="AA236" s="404"/>
      <c r="AB236" s="405"/>
      <c r="AC236" s="405"/>
      <c r="AD236" s="406"/>
      <c r="AE236" s="404"/>
      <c r="AF236" s="405"/>
      <c r="AG236" s="405"/>
      <c r="AH236" s="406"/>
      <c r="AI236" s="404"/>
      <c r="AJ236" s="405"/>
      <c r="AK236" s="405"/>
      <c r="AL236" s="405"/>
      <c r="AM236" s="428"/>
      <c r="AN236" s="429"/>
      <c r="AO236" s="429"/>
      <c r="AP236" s="430"/>
      <c r="AQ236" s="405"/>
      <c r="AR236" s="405"/>
      <c r="AS236" s="405"/>
      <c r="AT236" s="406"/>
    </row>
    <row r="237" spans="2:48" ht="15.75" thickBot="1" x14ac:dyDescent="0.3">
      <c r="B237" s="379" t="s">
        <v>551</v>
      </c>
      <c r="C237" s="380"/>
      <c r="D237" s="380"/>
      <c r="E237" s="380"/>
      <c r="F237" s="380"/>
      <c r="G237" s="380"/>
      <c r="H237" s="380"/>
      <c r="I237" s="380"/>
      <c r="J237" s="381"/>
      <c r="K237" s="391">
        <v>182</v>
      </c>
      <c r="L237" s="392"/>
      <c r="M237" s="393"/>
      <c r="N237" s="391">
        <v>440</v>
      </c>
      <c r="O237" s="392"/>
      <c r="P237" s="393"/>
      <c r="Q237" s="384">
        <f>AM237</f>
        <v>0</v>
      </c>
      <c r="R237" s="394"/>
      <c r="S237" s="394"/>
      <c r="T237" s="394"/>
      <c r="U237" s="378"/>
      <c r="V237" s="384" t="s">
        <v>32</v>
      </c>
      <c r="W237" s="394"/>
      <c r="X237" s="394"/>
      <c r="Y237" s="394"/>
      <c r="Z237" s="378"/>
      <c r="AA237" s="384" t="s">
        <v>32</v>
      </c>
      <c r="AB237" s="394"/>
      <c r="AC237" s="394"/>
      <c r="AD237" s="378"/>
      <c r="AE237" s="384" t="s">
        <v>32</v>
      </c>
      <c r="AF237" s="394"/>
      <c r="AG237" s="394"/>
      <c r="AH237" s="378"/>
      <c r="AI237" s="384" t="s">
        <v>32</v>
      </c>
      <c r="AJ237" s="394"/>
      <c r="AK237" s="394"/>
      <c r="AL237" s="394"/>
      <c r="AM237" s="396">
        <f>F74</f>
        <v>0</v>
      </c>
      <c r="AN237" s="397"/>
      <c r="AO237" s="397"/>
      <c r="AP237" s="398"/>
      <c r="AQ237" s="394" t="s">
        <v>32</v>
      </c>
      <c r="AR237" s="394"/>
      <c r="AS237" s="394"/>
      <c r="AT237" s="378"/>
    </row>
    <row r="238" spans="2:48" x14ac:dyDescent="0.25">
      <c r="B238" s="362" t="s">
        <v>552</v>
      </c>
      <c r="C238" s="363"/>
      <c r="D238" s="363"/>
      <c r="E238" s="363"/>
      <c r="F238" s="363"/>
      <c r="G238" s="363"/>
      <c r="H238" s="363"/>
      <c r="I238" s="363"/>
      <c r="J238" s="364"/>
      <c r="K238" s="391">
        <v>200</v>
      </c>
      <c r="L238" s="392"/>
      <c r="M238" s="393"/>
      <c r="N238" s="407" t="s">
        <v>32</v>
      </c>
      <c r="O238" s="408"/>
      <c r="P238" s="409"/>
      <c r="Q238" s="384" t="e">
        <f>SUM(V238:AT238)</f>
        <v>#REF!</v>
      </c>
      <c r="R238" s="394"/>
      <c r="S238" s="394"/>
      <c r="T238" s="394"/>
      <c r="U238" s="378"/>
      <c r="V238" s="384" t="e">
        <f>V239+V248+V265+V254+V260+V259</f>
        <v>#REF!</v>
      </c>
      <c r="W238" s="394"/>
      <c r="X238" s="394"/>
      <c r="Y238" s="394"/>
      <c r="Z238" s="378"/>
      <c r="AA238" s="384">
        <f>AA239+AA248+AA265+AA254+AA260+AA259</f>
        <v>7512</v>
      </c>
      <c r="AB238" s="394"/>
      <c r="AC238" s="394"/>
      <c r="AD238" s="378"/>
      <c r="AE238" s="384">
        <f>AE239+AE248+AE265+AE254+AE260+AE259</f>
        <v>0</v>
      </c>
      <c r="AF238" s="394"/>
      <c r="AG238" s="394"/>
      <c r="AH238" s="378"/>
      <c r="AI238" s="384">
        <f>AI239+AI248+AI265+AI254+AI260+AI259</f>
        <v>0</v>
      </c>
      <c r="AJ238" s="394"/>
      <c r="AK238" s="394"/>
      <c r="AL238" s="378"/>
      <c r="AM238" s="404">
        <f>AM239+AM248+AM265+AM254+AM260+AM259</f>
        <v>6871895.7899999991</v>
      </c>
      <c r="AN238" s="405"/>
      <c r="AO238" s="405"/>
      <c r="AP238" s="406"/>
      <c r="AQ238" s="384">
        <f>AQ239+AQ248+AQ265+AQ254+AQ260+AQ259</f>
        <v>0</v>
      </c>
      <c r="AR238" s="394"/>
      <c r="AS238" s="394"/>
      <c r="AT238" s="378"/>
      <c r="AU238" s="144" t="e">
        <f>Q238-F77</f>
        <v>#REF!</v>
      </c>
    </row>
    <row r="239" spans="2:48" x14ac:dyDescent="0.25">
      <c r="B239" s="356" t="s">
        <v>553</v>
      </c>
      <c r="C239" s="357"/>
      <c r="D239" s="357"/>
      <c r="E239" s="357"/>
      <c r="F239" s="357"/>
      <c r="G239" s="357"/>
      <c r="H239" s="357"/>
      <c r="I239" s="357"/>
      <c r="J239" s="358"/>
      <c r="K239" s="410">
        <v>210</v>
      </c>
      <c r="L239" s="411"/>
      <c r="M239" s="412"/>
      <c r="N239" s="410">
        <v>100</v>
      </c>
      <c r="O239" s="411"/>
      <c r="P239" s="412"/>
      <c r="Q239" s="416">
        <f t="shared" ref="Q239:Q258" si="57">SUM(V239:AT239)</f>
        <v>47006815.780000001</v>
      </c>
      <c r="R239" s="417"/>
      <c r="S239" s="417"/>
      <c r="T239" s="417"/>
      <c r="U239" s="418"/>
      <c r="V239" s="416">
        <f>V241</f>
        <v>46607881.780000001</v>
      </c>
      <c r="W239" s="417"/>
      <c r="X239" s="417"/>
      <c r="Y239" s="417"/>
      <c r="Z239" s="418"/>
      <c r="AA239" s="416">
        <f>AA241</f>
        <v>0</v>
      </c>
      <c r="AB239" s="417"/>
      <c r="AC239" s="417"/>
      <c r="AD239" s="418"/>
      <c r="AE239" s="416">
        <f>AE241</f>
        <v>0</v>
      </c>
      <c r="AF239" s="417"/>
      <c r="AG239" s="417"/>
      <c r="AH239" s="418"/>
      <c r="AI239" s="416">
        <f>AI241</f>
        <v>0</v>
      </c>
      <c r="AJ239" s="417"/>
      <c r="AK239" s="417"/>
      <c r="AL239" s="418"/>
      <c r="AM239" s="416">
        <f>AM241</f>
        <v>398934</v>
      </c>
      <c r="AN239" s="417"/>
      <c r="AO239" s="417"/>
      <c r="AP239" s="418"/>
      <c r="AQ239" s="416">
        <f>AQ241</f>
        <v>0</v>
      </c>
      <c r="AR239" s="417"/>
      <c r="AS239" s="417"/>
      <c r="AT239" s="418"/>
    </row>
    <row r="240" spans="2:48" x14ac:dyDescent="0.25">
      <c r="B240" s="359" t="s">
        <v>554</v>
      </c>
      <c r="C240" s="360"/>
      <c r="D240" s="360"/>
      <c r="E240" s="360"/>
      <c r="F240" s="360"/>
      <c r="G240" s="360"/>
      <c r="H240" s="360"/>
      <c r="I240" s="360"/>
      <c r="J240" s="361"/>
      <c r="K240" s="413"/>
      <c r="L240" s="414"/>
      <c r="M240" s="415"/>
      <c r="N240" s="413"/>
      <c r="O240" s="414"/>
      <c r="P240" s="415"/>
      <c r="Q240" s="404">
        <f t="shared" si="57"/>
        <v>0</v>
      </c>
      <c r="R240" s="405"/>
      <c r="S240" s="405"/>
      <c r="T240" s="405"/>
      <c r="U240" s="406"/>
      <c r="V240" s="404"/>
      <c r="W240" s="405"/>
      <c r="X240" s="405"/>
      <c r="Y240" s="405"/>
      <c r="Z240" s="406"/>
      <c r="AA240" s="404"/>
      <c r="AB240" s="405"/>
      <c r="AC240" s="405"/>
      <c r="AD240" s="406"/>
      <c r="AE240" s="404"/>
      <c r="AF240" s="405"/>
      <c r="AG240" s="405"/>
      <c r="AH240" s="406"/>
      <c r="AI240" s="404"/>
      <c r="AJ240" s="405"/>
      <c r="AK240" s="405"/>
      <c r="AL240" s="406"/>
      <c r="AM240" s="404"/>
      <c r="AN240" s="405"/>
      <c r="AO240" s="405"/>
      <c r="AP240" s="406"/>
      <c r="AQ240" s="404"/>
      <c r="AR240" s="405"/>
      <c r="AS240" s="405"/>
      <c r="AT240" s="406"/>
    </row>
    <row r="241" spans="2:46" x14ac:dyDescent="0.25">
      <c r="B241" s="356" t="s">
        <v>555</v>
      </c>
      <c r="C241" s="357"/>
      <c r="D241" s="357"/>
      <c r="E241" s="357"/>
      <c r="F241" s="357"/>
      <c r="G241" s="357"/>
      <c r="H241" s="357"/>
      <c r="I241" s="357"/>
      <c r="J241" s="358"/>
      <c r="K241" s="410">
        <v>211</v>
      </c>
      <c r="L241" s="411"/>
      <c r="M241" s="412"/>
      <c r="N241" s="410">
        <v>110</v>
      </c>
      <c r="O241" s="411"/>
      <c r="P241" s="412"/>
      <c r="Q241" s="416">
        <f t="shared" si="57"/>
        <v>47006815.780000001</v>
      </c>
      <c r="R241" s="417"/>
      <c r="S241" s="417"/>
      <c r="T241" s="417"/>
      <c r="U241" s="418"/>
      <c r="V241" s="416">
        <f>SUM(V243:Z247)</f>
        <v>46607881.780000001</v>
      </c>
      <c r="W241" s="417"/>
      <c r="X241" s="417"/>
      <c r="Y241" s="417"/>
      <c r="Z241" s="418"/>
      <c r="AA241" s="416">
        <f>SUM(AA243:AD247)</f>
        <v>0</v>
      </c>
      <c r="AB241" s="417"/>
      <c r="AC241" s="417"/>
      <c r="AD241" s="418"/>
      <c r="AE241" s="416">
        <f>SUM(AE243:AH247)</f>
        <v>0</v>
      </c>
      <c r="AF241" s="417"/>
      <c r="AG241" s="417"/>
      <c r="AH241" s="418"/>
      <c r="AI241" s="416">
        <f>SUM(AI243:AL247)</f>
        <v>0</v>
      </c>
      <c r="AJ241" s="417"/>
      <c r="AK241" s="417"/>
      <c r="AL241" s="418"/>
      <c r="AM241" s="416">
        <f>SUM(AM243:AP247)</f>
        <v>398934</v>
      </c>
      <c r="AN241" s="417"/>
      <c r="AO241" s="417"/>
      <c r="AP241" s="418"/>
      <c r="AQ241" s="416">
        <f>SUM(AQ243:AT247)</f>
        <v>0</v>
      </c>
      <c r="AR241" s="417"/>
      <c r="AS241" s="417"/>
      <c r="AT241" s="418"/>
    </row>
    <row r="242" spans="2:46" ht="15.75" thickBot="1" x14ac:dyDescent="0.3">
      <c r="B242" s="359" t="s">
        <v>556</v>
      </c>
      <c r="C242" s="360"/>
      <c r="D242" s="360"/>
      <c r="E242" s="360"/>
      <c r="F242" s="360"/>
      <c r="G242" s="360"/>
      <c r="H242" s="360"/>
      <c r="I242" s="360"/>
      <c r="J242" s="361"/>
      <c r="K242" s="413"/>
      <c r="L242" s="414"/>
      <c r="M242" s="415"/>
      <c r="N242" s="413"/>
      <c r="O242" s="414"/>
      <c r="P242" s="415"/>
      <c r="Q242" s="404">
        <f t="shared" si="57"/>
        <v>0</v>
      </c>
      <c r="R242" s="405"/>
      <c r="S242" s="405"/>
      <c r="T242" s="405"/>
      <c r="U242" s="406"/>
      <c r="V242" s="399"/>
      <c r="W242" s="400"/>
      <c r="X242" s="400"/>
      <c r="Y242" s="400"/>
      <c r="Z242" s="401"/>
      <c r="AA242" s="399"/>
      <c r="AB242" s="400"/>
      <c r="AC242" s="400"/>
      <c r="AD242" s="401"/>
      <c r="AE242" s="404"/>
      <c r="AF242" s="405"/>
      <c r="AG242" s="405"/>
      <c r="AH242" s="406"/>
      <c r="AI242" s="404"/>
      <c r="AJ242" s="405"/>
      <c r="AK242" s="405"/>
      <c r="AL242" s="406"/>
      <c r="AM242" s="399"/>
      <c r="AN242" s="400"/>
      <c r="AO242" s="400"/>
      <c r="AP242" s="401"/>
      <c r="AQ242" s="404"/>
      <c r="AR242" s="405"/>
      <c r="AS242" s="405"/>
      <c r="AT242" s="406"/>
    </row>
    <row r="243" spans="2:46" x14ac:dyDescent="0.25">
      <c r="B243" s="356" t="s">
        <v>557</v>
      </c>
      <c r="C243" s="357"/>
      <c r="D243" s="357"/>
      <c r="E243" s="357"/>
      <c r="F243" s="357"/>
      <c r="G243" s="357"/>
      <c r="H243" s="357"/>
      <c r="I243" s="357"/>
      <c r="J243" s="358"/>
      <c r="K243" s="449" t="s">
        <v>558</v>
      </c>
      <c r="L243" s="450"/>
      <c r="M243" s="451"/>
      <c r="N243" s="410">
        <v>111</v>
      </c>
      <c r="O243" s="411"/>
      <c r="P243" s="412"/>
      <c r="Q243" s="416">
        <f t="shared" si="57"/>
        <v>36597209.780000001</v>
      </c>
      <c r="R243" s="417"/>
      <c r="S243" s="417"/>
      <c r="T243" s="417"/>
      <c r="U243" s="417"/>
      <c r="V243" s="419">
        <f>F80</f>
        <v>36290808.780000001</v>
      </c>
      <c r="W243" s="420"/>
      <c r="X243" s="420"/>
      <c r="Y243" s="420"/>
      <c r="Z243" s="421"/>
      <c r="AA243" s="425">
        <f>F82</f>
        <v>0</v>
      </c>
      <c r="AB243" s="426"/>
      <c r="AC243" s="426"/>
      <c r="AD243" s="427"/>
      <c r="AE243" s="417"/>
      <c r="AF243" s="417"/>
      <c r="AG243" s="417"/>
      <c r="AH243" s="418"/>
      <c r="AI243" s="416"/>
      <c r="AJ243" s="417"/>
      <c r="AK243" s="417"/>
      <c r="AL243" s="417"/>
      <c r="AM243" s="425">
        <f>F81</f>
        <v>306401</v>
      </c>
      <c r="AN243" s="426"/>
      <c r="AO243" s="426"/>
      <c r="AP243" s="427"/>
      <c r="AQ243" s="417"/>
      <c r="AR243" s="417"/>
      <c r="AS243" s="417"/>
      <c r="AT243" s="418"/>
    </row>
    <row r="244" spans="2:46" ht="15.75" thickBot="1" x14ac:dyDescent="0.3">
      <c r="B244" s="359" t="s">
        <v>559</v>
      </c>
      <c r="C244" s="360"/>
      <c r="D244" s="360"/>
      <c r="E244" s="360"/>
      <c r="F244" s="360"/>
      <c r="G244" s="360"/>
      <c r="H244" s="360"/>
      <c r="I244" s="360"/>
      <c r="J244" s="361"/>
      <c r="K244" s="452"/>
      <c r="L244" s="453"/>
      <c r="M244" s="454"/>
      <c r="N244" s="413"/>
      <c r="O244" s="414"/>
      <c r="P244" s="415"/>
      <c r="Q244" s="404">
        <f t="shared" si="57"/>
        <v>0</v>
      </c>
      <c r="R244" s="405"/>
      <c r="S244" s="405"/>
      <c r="T244" s="405"/>
      <c r="U244" s="405"/>
      <c r="V244" s="422"/>
      <c r="W244" s="423"/>
      <c r="X244" s="423"/>
      <c r="Y244" s="423"/>
      <c r="Z244" s="424"/>
      <c r="AA244" s="428"/>
      <c r="AB244" s="429"/>
      <c r="AC244" s="429"/>
      <c r="AD244" s="430"/>
      <c r="AE244" s="405"/>
      <c r="AF244" s="405"/>
      <c r="AG244" s="405"/>
      <c r="AH244" s="406"/>
      <c r="AI244" s="404"/>
      <c r="AJ244" s="405"/>
      <c r="AK244" s="405"/>
      <c r="AL244" s="405"/>
      <c r="AM244" s="428"/>
      <c r="AN244" s="429"/>
      <c r="AO244" s="429"/>
      <c r="AP244" s="430"/>
      <c r="AQ244" s="405"/>
      <c r="AR244" s="405"/>
      <c r="AS244" s="405"/>
      <c r="AT244" s="406"/>
    </row>
    <row r="245" spans="2:46" ht="15.75" thickBot="1" x14ac:dyDescent="0.3">
      <c r="B245" s="379" t="s">
        <v>560</v>
      </c>
      <c r="C245" s="380"/>
      <c r="D245" s="380"/>
      <c r="E245" s="380"/>
      <c r="F245" s="380"/>
      <c r="G245" s="380"/>
      <c r="H245" s="380"/>
      <c r="I245" s="380"/>
      <c r="J245" s="381"/>
      <c r="K245" s="407" t="s">
        <v>561</v>
      </c>
      <c r="L245" s="408"/>
      <c r="M245" s="409"/>
      <c r="N245" s="391">
        <v>112</v>
      </c>
      <c r="O245" s="392"/>
      <c r="P245" s="393"/>
      <c r="Q245" s="384">
        <f t="shared" si="57"/>
        <v>0</v>
      </c>
      <c r="R245" s="394"/>
      <c r="S245" s="394"/>
      <c r="T245" s="394"/>
      <c r="U245" s="394"/>
      <c r="V245" s="396">
        <f>F84</f>
        <v>0</v>
      </c>
      <c r="W245" s="397"/>
      <c r="X245" s="397"/>
      <c r="Y245" s="397"/>
      <c r="Z245" s="398"/>
      <c r="AA245" s="405"/>
      <c r="AB245" s="405"/>
      <c r="AC245" s="405"/>
      <c r="AD245" s="406"/>
      <c r="AE245" s="384"/>
      <c r="AF245" s="394"/>
      <c r="AG245" s="394"/>
      <c r="AH245" s="378"/>
      <c r="AI245" s="384"/>
      <c r="AJ245" s="394"/>
      <c r="AK245" s="394"/>
      <c r="AL245" s="394"/>
      <c r="AM245" s="396">
        <f>F85</f>
        <v>0</v>
      </c>
      <c r="AN245" s="397"/>
      <c r="AO245" s="397"/>
      <c r="AP245" s="398"/>
      <c r="AQ245" s="394"/>
      <c r="AR245" s="394"/>
      <c r="AS245" s="394"/>
      <c r="AT245" s="378"/>
    </row>
    <row r="246" spans="2:46" ht="15.75" thickBot="1" x14ac:dyDescent="0.3">
      <c r="B246" s="379" t="s">
        <v>562</v>
      </c>
      <c r="C246" s="380"/>
      <c r="D246" s="380"/>
      <c r="E246" s="380"/>
      <c r="F246" s="380"/>
      <c r="G246" s="380"/>
      <c r="H246" s="380"/>
      <c r="I246" s="380"/>
      <c r="J246" s="381"/>
      <c r="K246" s="407" t="s">
        <v>563</v>
      </c>
      <c r="L246" s="408"/>
      <c r="M246" s="409"/>
      <c r="N246" s="391">
        <v>113</v>
      </c>
      <c r="O246" s="392"/>
      <c r="P246" s="393"/>
      <c r="Q246" s="384">
        <f t="shared" si="57"/>
        <v>0</v>
      </c>
      <c r="R246" s="394"/>
      <c r="S246" s="394"/>
      <c r="T246" s="394"/>
      <c r="U246" s="378"/>
      <c r="V246" s="399"/>
      <c r="W246" s="400"/>
      <c r="X246" s="400"/>
      <c r="Y246" s="400"/>
      <c r="Z246" s="401"/>
      <c r="AA246" s="384"/>
      <c r="AB246" s="394"/>
      <c r="AC246" s="394"/>
      <c r="AD246" s="378"/>
      <c r="AE246" s="384"/>
      <c r="AF246" s="394"/>
      <c r="AG246" s="394"/>
      <c r="AH246" s="378"/>
      <c r="AI246" s="384"/>
      <c r="AJ246" s="394"/>
      <c r="AK246" s="394"/>
      <c r="AL246" s="378"/>
      <c r="AM246" s="399"/>
      <c r="AN246" s="400"/>
      <c r="AO246" s="400"/>
      <c r="AP246" s="401"/>
      <c r="AQ246" s="384"/>
      <c r="AR246" s="394"/>
      <c r="AS246" s="394"/>
      <c r="AT246" s="378"/>
    </row>
    <row r="247" spans="2:46" ht="15.75" thickBot="1" x14ac:dyDescent="0.3">
      <c r="B247" s="379" t="s">
        <v>564</v>
      </c>
      <c r="C247" s="380"/>
      <c r="D247" s="380"/>
      <c r="E247" s="380"/>
      <c r="F247" s="380"/>
      <c r="G247" s="380"/>
      <c r="H247" s="380"/>
      <c r="I247" s="380"/>
      <c r="J247" s="381"/>
      <c r="K247" s="407" t="s">
        <v>565</v>
      </c>
      <c r="L247" s="408"/>
      <c r="M247" s="409"/>
      <c r="N247" s="391">
        <v>119</v>
      </c>
      <c r="O247" s="392"/>
      <c r="P247" s="393"/>
      <c r="Q247" s="384">
        <f t="shared" si="57"/>
        <v>10409606</v>
      </c>
      <c r="R247" s="394"/>
      <c r="S247" s="394"/>
      <c r="T247" s="394"/>
      <c r="U247" s="394"/>
      <c r="V247" s="396">
        <f>F91</f>
        <v>10317073</v>
      </c>
      <c r="W247" s="397"/>
      <c r="X247" s="397"/>
      <c r="Y247" s="397"/>
      <c r="Z247" s="398"/>
      <c r="AA247" s="394"/>
      <c r="AB247" s="394"/>
      <c r="AC247" s="394"/>
      <c r="AD247" s="378"/>
      <c r="AE247" s="384"/>
      <c r="AF247" s="394"/>
      <c r="AG247" s="394"/>
      <c r="AH247" s="378"/>
      <c r="AI247" s="384"/>
      <c r="AJ247" s="394"/>
      <c r="AK247" s="394"/>
      <c r="AL247" s="394"/>
      <c r="AM247" s="396">
        <f>F92</f>
        <v>92533</v>
      </c>
      <c r="AN247" s="397"/>
      <c r="AO247" s="397"/>
      <c r="AP247" s="398"/>
      <c r="AQ247" s="394"/>
      <c r="AR247" s="394"/>
      <c r="AS247" s="394"/>
      <c r="AT247" s="378"/>
    </row>
    <row r="248" spans="2:46" ht="15.75" thickBot="1" x14ac:dyDescent="0.3">
      <c r="B248" s="379" t="s">
        <v>566</v>
      </c>
      <c r="C248" s="380"/>
      <c r="D248" s="380"/>
      <c r="E248" s="380"/>
      <c r="F248" s="380"/>
      <c r="G248" s="380"/>
      <c r="H248" s="380"/>
      <c r="I248" s="380"/>
      <c r="J248" s="381"/>
      <c r="K248" s="391">
        <v>220</v>
      </c>
      <c r="L248" s="392"/>
      <c r="M248" s="393"/>
      <c r="N248" s="391">
        <v>300</v>
      </c>
      <c r="O248" s="392"/>
      <c r="P248" s="393"/>
      <c r="Q248" s="384">
        <f t="shared" si="57"/>
        <v>0</v>
      </c>
      <c r="R248" s="394"/>
      <c r="S248" s="394"/>
      <c r="T248" s="394"/>
      <c r="U248" s="378"/>
      <c r="V248" s="399">
        <f>SUM(V249:Z253)</f>
        <v>0</v>
      </c>
      <c r="W248" s="400"/>
      <c r="X248" s="400"/>
      <c r="Y248" s="400"/>
      <c r="Z248" s="401"/>
      <c r="AA248" s="384">
        <f>SUM(AA249:AD253)</f>
        <v>0</v>
      </c>
      <c r="AB248" s="394"/>
      <c r="AC248" s="394"/>
      <c r="AD248" s="378"/>
      <c r="AE248" s="384">
        <f>SUM(AE249:AH253)</f>
        <v>0</v>
      </c>
      <c r="AF248" s="394"/>
      <c r="AG248" s="394"/>
      <c r="AH248" s="378"/>
      <c r="AI248" s="384">
        <f>SUM(AI249:AL253)</f>
        <v>0</v>
      </c>
      <c r="AJ248" s="394"/>
      <c r="AK248" s="394"/>
      <c r="AL248" s="378"/>
      <c r="AM248" s="399">
        <f>SUM(AM249:AP253)</f>
        <v>0</v>
      </c>
      <c r="AN248" s="400"/>
      <c r="AO248" s="400"/>
      <c r="AP248" s="401"/>
      <c r="AQ248" s="384">
        <f>SUM(AQ249:AT253)</f>
        <v>0</v>
      </c>
      <c r="AR248" s="394"/>
      <c r="AS248" s="394"/>
      <c r="AT248" s="378"/>
    </row>
    <row r="249" spans="2:46" x14ac:dyDescent="0.25">
      <c r="B249" s="356" t="s">
        <v>567</v>
      </c>
      <c r="C249" s="357"/>
      <c r="D249" s="357"/>
      <c r="E249" s="357"/>
      <c r="F249" s="357"/>
      <c r="G249" s="357"/>
      <c r="H249" s="357"/>
      <c r="I249" s="357"/>
      <c r="J249" s="358"/>
      <c r="K249" s="410">
        <v>221</v>
      </c>
      <c r="L249" s="411"/>
      <c r="M249" s="412"/>
      <c r="N249" s="410">
        <v>321</v>
      </c>
      <c r="O249" s="411"/>
      <c r="P249" s="412"/>
      <c r="Q249" s="416">
        <f t="shared" si="57"/>
        <v>0</v>
      </c>
      <c r="R249" s="417"/>
      <c r="S249" s="417"/>
      <c r="T249" s="417"/>
      <c r="U249" s="417"/>
      <c r="V249" s="419">
        <f>F100</f>
        <v>0</v>
      </c>
      <c r="W249" s="420"/>
      <c r="X249" s="420"/>
      <c r="Y249" s="420"/>
      <c r="Z249" s="421"/>
      <c r="AA249" s="417"/>
      <c r="AB249" s="417"/>
      <c r="AC249" s="417"/>
      <c r="AD249" s="418"/>
      <c r="AE249" s="416"/>
      <c r="AF249" s="417"/>
      <c r="AG249" s="417"/>
      <c r="AH249" s="418"/>
      <c r="AI249" s="416"/>
      <c r="AJ249" s="417"/>
      <c r="AK249" s="417"/>
      <c r="AL249" s="417"/>
      <c r="AM249" s="425">
        <f>F101</f>
        <v>0</v>
      </c>
      <c r="AN249" s="426"/>
      <c r="AO249" s="426"/>
      <c r="AP249" s="427"/>
      <c r="AQ249" s="417"/>
      <c r="AR249" s="417"/>
      <c r="AS249" s="417"/>
      <c r="AT249" s="418"/>
    </row>
    <row r="250" spans="2:46" ht="15.75" thickBot="1" x14ac:dyDescent="0.3">
      <c r="B250" s="359" t="s">
        <v>568</v>
      </c>
      <c r="C250" s="360"/>
      <c r="D250" s="360"/>
      <c r="E250" s="360"/>
      <c r="F250" s="360"/>
      <c r="G250" s="360"/>
      <c r="H250" s="360"/>
      <c r="I250" s="360"/>
      <c r="J250" s="361"/>
      <c r="K250" s="413"/>
      <c r="L250" s="414"/>
      <c r="M250" s="415"/>
      <c r="N250" s="413"/>
      <c r="O250" s="414"/>
      <c r="P250" s="415"/>
      <c r="Q250" s="404">
        <f t="shared" si="57"/>
        <v>0</v>
      </c>
      <c r="R250" s="405"/>
      <c r="S250" s="405"/>
      <c r="T250" s="405"/>
      <c r="U250" s="405"/>
      <c r="V250" s="422"/>
      <c r="W250" s="423"/>
      <c r="X250" s="423"/>
      <c r="Y250" s="423"/>
      <c r="Z250" s="424"/>
      <c r="AA250" s="400"/>
      <c r="AB250" s="400"/>
      <c r="AC250" s="400"/>
      <c r="AD250" s="401"/>
      <c r="AE250" s="404"/>
      <c r="AF250" s="405"/>
      <c r="AG250" s="405"/>
      <c r="AH250" s="406"/>
      <c r="AI250" s="404"/>
      <c r="AJ250" s="405"/>
      <c r="AK250" s="405"/>
      <c r="AL250" s="405"/>
      <c r="AM250" s="428"/>
      <c r="AN250" s="429"/>
      <c r="AO250" s="429"/>
      <c r="AP250" s="430"/>
      <c r="AQ250" s="405"/>
      <c r="AR250" s="405"/>
      <c r="AS250" s="405"/>
      <c r="AT250" s="406"/>
    </row>
    <row r="251" spans="2:46" ht="15.75" thickBot="1" x14ac:dyDescent="0.3">
      <c r="B251" s="379" t="s">
        <v>569</v>
      </c>
      <c r="C251" s="380"/>
      <c r="D251" s="380"/>
      <c r="E251" s="380"/>
      <c r="F251" s="380"/>
      <c r="G251" s="380"/>
      <c r="H251" s="380"/>
      <c r="I251" s="380"/>
      <c r="J251" s="381"/>
      <c r="K251" s="391">
        <v>222</v>
      </c>
      <c r="L251" s="392"/>
      <c r="M251" s="393"/>
      <c r="N251" s="391">
        <v>323</v>
      </c>
      <c r="O251" s="392"/>
      <c r="P251" s="393"/>
      <c r="Q251" s="384">
        <f t="shared" ref="Q251" si="58">SUM(V251:AT251)</f>
        <v>0</v>
      </c>
      <c r="R251" s="394"/>
      <c r="S251" s="394"/>
      <c r="T251" s="394"/>
      <c r="U251" s="378"/>
      <c r="V251" s="404"/>
      <c r="W251" s="405"/>
      <c r="X251" s="405"/>
      <c r="Y251" s="405"/>
      <c r="Z251" s="405"/>
      <c r="AA251" s="396">
        <f>F103</f>
        <v>0</v>
      </c>
      <c r="AB251" s="397"/>
      <c r="AC251" s="397"/>
      <c r="AD251" s="398"/>
      <c r="AE251" s="394"/>
      <c r="AF251" s="394"/>
      <c r="AG251" s="394"/>
      <c r="AH251" s="378"/>
      <c r="AI251" s="384"/>
      <c r="AJ251" s="394"/>
      <c r="AK251" s="394"/>
      <c r="AL251" s="378"/>
      <c r="AM251" s="404"/>
      <c r="AN251" s="405"/>
      <c r="AO251" s="405"/>
      <c r="AP251" s="406"/>
      <c r="AQ251" s="384"/>
      <c r="AR251" s="394"/>
      <c r="AS251" s="394"/>
      <c r="AT251" s="378"/>
    </row>
    <row r="252" spans="2:46" ht="15.75" thickBot="1" x14ac:dyDescent="0.3">
      <c r="B252" s="379" t="s">
        <v>570</v>
      </c>
      <c r="C252" s="380"/>
      <c r="D252" s="380"/>
      <c r="E252" s="380"/>
      <c r="F252" s="380"/>
      <c r="G252" s="380"/>
      <c r="H252" s="380"/>
      <c r="I252" s="380"/>
      <c r="J252" s="381"/>
      <c r="K252" s="391">
        <v>223</v>
      </c>
      <c r="L252" s="392"/>
      <c r="M252" s="393"/>
      <c r="N252" s="391">
        <v>340</v>
      </c>
      <c r="O252" s="392"/>
      <c r="P252" s="393"/>
      <c r="Q252" s="384">
        <f t="shared" si="57"/>
        <v>0</v>
      </c>
      <c r="R252" s="394"/>
      <c r="S252" s="394"/>
      <c r="T252" s="394"/>
      <c r="U252" s="378"/>
      <c r="V252" s="431"/>
      <c r="W252" s="432"/>
      <c r="X252" s="432"/>
      <c r="Y252" s="432"/>
      <c r="Z252" s="432"/>
      <c r="AA252" s="396">
        <f>F105</f>
        <v>0</v>
      </c>
      <c r="AB252" s="397"/>
      <c r="AC252" s="397"/>
      <c r="AD252" s="398"/>
      <c r="AE252" s="394"/>
      <c r="AF252" s="394"/>
      <c r="AG252" s="394"/>
      <c r="AH252" s="378"/>
      <c r="AI252" s="384"/>
      <c r="AJ252" s="394"/>
      <c r="AK252" s="394"/>
      <c r="AL252" s="378"/>
      <c r="AM252" s="384"/>
      <c r="AN252" s="394"/>
      <c r="AO252" s="394"/>
      <c r="AP252" s="378"/>
      <c r="AQ252" s="384"/>
      <c r="AR252" s="394"/>
      <c r="AS252" s="394"/>
      <c r="AT252" s="378"/>
    </row>
    <row r="253" spans="2:46" x14ac:dyDescent="0.25">
      <c r="B253" s="379" t="s">
        <v>571</v>
      </c>
      <c r="C253" s="380"/>
      <c r="D253" s="380"/>
      <c r="E253" s="380"/>
      <c r="F253" s="380"/>
      <c r="G253" s="380"/>
      <c r="H253" s="380"/>
      <c r="I253" s="380"/>
      <c r="J253" s="381"/>
      <c r="K253" s="391">
        <v>224</v>
      </c>
      <c r="L253" s="392"/>
      <c r="M253" s="393"/>
      <c r="N253" s="391">
        <v>350</v>
      </c>
      <c r="O253" s="392"/>
      <c r="P253" s="393"/>
      <c r="Q253" s="384">
        <f t="shared" si="57"/>
        <v>0</v>
      </c>
      <c r="R253" s="394"/>
      <c r="S253" s="394"/>
      <c r="T253" s="394"/>
      <c r="U253" s="378"/>
      <c r="V253" s="431"/>
      <c r="W253" s="432"/>
      <c r="X253" s="432"/>
      <c r="Y253" s="432"/>
      <c r="Z253" s="433"/>
      <c r="AA253" s="404"/>
      <c r="AB253" s="405"/>
      <c r="AC253" s="405"/>
      <c r="AD253" s="406"/>
      <c r="AE253" s="384"/>
      <c r="AF253" s="394"/>
      <c r="AG253" s="394"/>
      <c r="AH253" s="378"/>
      <c r="AI253" s="384"/>
      <c r="AJ253" s="394"/>
      <c r="AK253" s="394"/>
      <c r="AL253" s="378"/>
      <c r="AM253" s="384"/>
      <c r="AN253" s="394"/>
      <c r="AO253" s="394"/>
      <c r="AP253" s="378"/>
      <c r="AQ253" s="384"/>
      <c r="AR253" s="394"/>
      <c r="AS253" s="394"/>
      <c r="AT253" s="378"/>
    </row>
    <row r="254" spans="2:46" ht="15.75" thickBot="1" x14ac:dyDescent="0.3">
      <c r="B254" s="379" t="s">
        <v>572</v>
      </c>
      <c r="C254" s="380"/>
      <c r="D254" s="380"/>
      <c r="E254" s="380"/>
      <c r="F254" s="380"/>
      <c r="G254" s="380"/>
      <c r="H254" s="380"/>
      <c r="I254" s="380"/>
      <c r="J254" s="381"/>
      <c r="K254" s="391">
        <v>230</v>
      </c>
      <c r="L254" s="392"/>
      <c r="M254" s="393"/>
      <c r="N254" s="391">
        <v>850</v>
      </c>
      <c r="O254" s="392"/>
      <c r="P254" s="393"/>
      <c r="Q254" s="384">
        <f t="shared" si="57"/>
        <v>2276957</v>
      </c>
      <c r="R254" s="394"/>
      <c r="S254" s="394"/>
      <c r="T254" s="394"/>
      <c r="U254" s="378"/>
      <c r="V254" s="416">
        <f>SUM(V255:Z258)</f>
        <v>2276957</v>
      </c>
      <c r="W254" s="417"/>
      <c r="X254" s="417"/>
      <c r="Y254" s="417"/>
      <c r="Z254" s="418"/>
      <c r="AA254" s="384">
        <f>SUM(AA255:AD258)</f>
        <v>0</v>
      </c>
      <c r="AB254" s="394"/>
      <c r="AC254" s="394"/>
      <c r="AD254" s="378"/>
      <c r="AE254" s="384">
        <f>SUM(AE255:AH258)</f>
        <v>0</v>
      </c>
      <c r="AF254" s="394"/>
      <c r="AG254" s="394"/>
      <c r="AH254" s="378"/>
      <c r="AI254" s="384">
        <f>SUM(AI255:AL258)</f>
        <v>0</v>
      </c>
      <c r="AJ254" s="394"/>
      <c r="AK254" s="394"/>
      <c r="AL254" s="378"/>
      <c r="AM254" s="416">
        <f>SUM(AM255:AP258)</f>
        <v>0</v>
      </c>
      <c r="AN254" s="417"/>
      <c r="AO254" s="417"/>
      <c r="AP254" s="418"/>
      <c r="AQ254" s="384">
        <f>SUM(AQ255:AT258)</f>
        <v>0</v>
      </c>
      <c r="AR254" s="394"/>
      <c r="AS254" s="394"/>
      <c r="AT254" s="378"/>
    </row>
    <row r="255" spans="2:46" x14ac:dyDescent="0.25">
      <c r="B255" s="356" t="s">
        <v>573</v>
      </c>
      <c r="C255" s="357"/>
      <c r="D255" s="357"/>
      <c r="E255" s="357"/>
      <c r="F255" s="357"/>
      <c r="G255" s="357"/>
      <c r="H255" s="357"/>
      <c r="I255" s="357"/>
      <c r="J255" s="358"/>
      <c r="K255" s="410">
        <v>231</v>
      </c>
      <c r="L255" s="411"/>
      <c r="M255" s="412"/>
      <c r="N255" s="410">
        <v>851</v>
      </c>
      <c r="O255" s="411"/>
      <c r="P255" s="412"/>
      <c r="Q255" s="416">
        <f t="shared" si="57"/>
        <v>2276957</v>
      </c>
      <c r="R255" s="417"/>
      <c r="S255" s="417"/>
      <c r="T255" s="417"/>
      <c r="U255" s="417"/>
      <c r="V255" s="419">
        <f>F112</f>
        <v>2276957</v>
      </c>
      <c r="W255" s="420"/>
      <c r="X255" s="420"/>
      <c r="Y255" s="420"/>
      <c r="Z255" s="421"/>
      <c r="AA255" s="417"/>
      <c r="AB255" s="417"/>
      <c r="AC255" s="417"/>
      <c r="AD255" s="418"/>
      <c r="AE255" s="416"/>
      <c r="AF255" s="417"/>
      <c r="AG255" s="417"/>
      <c r="AH255" s="418"/>
      <c r="AI255" s="416"/>
      <c r="AJ255" s="417"/>
      <c r="AK255" s="417"/>
      <c r="AL255" s="417"/>
      <c r="AM255" s="425">
        <f>F113</f>
        <v>0</v>
      </c>
      <c r="AN255" s="426"/>
      <c r="AO255" s="426"/>
      <c r="AP255" s="427"/>
      <c r="AQ255" s="417"/>
      <c r="AR255" s="417"/>
      <c r="AS255" s="417"/>
      <c r="AT255" s="418"/>
    </row>
    <row r="256" spans="2:46" ht="15.75" thickBot="1" x14ac:dyDescent="0.3">
      <c r="B256" s="359" t="s">
        <v>574</v>
      </c>
      <c r="C256" s="360"/>
      <c r="D256" s="360"/>
      <c r="E256" s="360"/>
      <c r="F256" s="360"/>
      <c r="G256" s="360"/>
      <c r="H256" s="360"/>
      <c r="I256" s="360"/>
      <c r="J256" s="361"/>
      <c r="K256" s="413"/>
      <c r="L256" s="414"/>
      <c r="M256" s="415"/>
      <c r="N256" s="413"/>
      <c r="O256" s="414"/>
      <c r="P256" s="415"/>
      <c r="Q256" s="404">
        <f t="shared" si="57"/>
        <v>0</v>
      </c>
      <c r="R256" s="405"/>
      <c r="S256" s="405"/>
      <c r="T256" s="405"/>
      <c r="U256" s="405"/>
      <c r="V256" s="422"/>
      <c r="W256" s="423"/>
      <c r="X256" s="423"/>
      <c r="Y256" s="423"/>
      <c r="Z256" s="424"/>
      <c r="AA256" s="405"/>
      <c r="AB256" s="405"/>
      <c r="AC256" s="405"/>
      <c r="AD256" s="406"/>
      <c r="AE256" s="404"/>
      <c r="AF256" s="405"/>
      <c r="AG256" s="405"/>
      <c r="AH256" s="406"/>
      <c r="AI256" s="404"/>
      <c r="AJ256" s="405"/>
      <c r="AK256" s="405"/>
      <c r="AL256" s="405"/>
      <c r="AM256" s="428"/>
      <c r="AN256" s="429"/>
      <c r="AO256" s="429"/>
      <c r="AP256" s="430"/>
      <c r="AQ256" s="405"/>
      <c r="AR256" s="405"/>
      <c r="AS256" s="405"/>
      <c r="AT256" s="406"/>
    </row>
    <row r="257" spans="2:48" ht="15.75" thickBot="1" x14ac:dyDescent="0.3">
      <c r="B257" s="379" t="s">
        <v>575</v>
      </c>
      <c r="C257" s="380"/>
      <c r="D257" s="380"/>
      <c r="E257" s="380"/>
      <c r="F257" s="380"/>
      <c r="G257" s="380"/>
      <c r="H257" s="380"/>
      <c r="I257" s="380"/>
      <c r="J257" s="381"/>
      <c r="K257" s="391">
        <v>232</v>
      </c>
      <c r="L257" s="392"/>
      <c r="M257" s="393"/>
      <c r="N257" s="391">
        <v>852</v>
      </c>
      <c r="O257" s="392"/>
      <c r="P257" s="393"/>
      <c r="Q257" s="384">
        <f t="shared" si="57"/>
        <v>0</v>
      </c>
      <c r="R257" s="394"/>
      <c r="S257" s="394"/>
      <c r="T257" s="394"/>
      <c r="U257" s="394"/>
      <c r="V257" s="434">
        <f>F115</f>
        <v>0</v>
      </c>
      <c r="W257" s="435"/>
      <c r="X257" s="435"/>
      <c r="Y257" s="435"/>
      <c r="Z257" s="436"/>
      <c r="AA257" s="394"/>
      <c r="AB257" s="394"/>
      <c r="AC257" s="394"/>
      <c r="AD257" s="378"/>
      <c r="AE257" s="384"/>
      <c r="AF257" s="394"/>
      <c r="AG257" s="394"/>
      <c r="AH257" s="378"/>
      <c r="AI257" s="384"/>
      <c r="AJ257" s="394"/>
      <c r="AK257" s="394"/>
      <c r="AL257" s="394"/>
      <c r="AM257" s="396">
        <f>F116</f>
        <v>0</v>
      </c>
      <c r="AN257" s="397"/>
      <c r="AO257" s="397"/>
      <c r="AP257" s="398"/>
      <c r="AQ257" s="394"/>
      <c r="AR257" s="394"/>
      <c r="AS257" s="394"/>
      <c r="AT257" s="378"/>
    </row>
    <row r="258" spans="2:48" ht="15.75" thickBot="1" x14ac:dyDescent="0.3">
      <c r="B258" s="379" t="s">
        <v>576</v>
      </c>
      <c r="C258" s="380"/>
      <c r="D258" s="380"/>
      <c r="E258" s="380"/>
      <c r="F258" s="380"/>
      <c r="G258" s="380"/>
      <c r="H258" s="380"/>
      <c r="I258" s="380"/>
      <c r="J258" s="381"/>
      <c r="K258" s="391">
        <v>233</v>
      </c>
      <c r="L258" s="392"/>
      <c r="M258" s="393"/>
      <c r="N258" s="391">
        <v>853</v>
      </c>
      <c r="O258" s="392"/>
      <c r="P258" s="393"/>
      <c r="Q258" s="416">
        <f t="shared" si="57"/>
        <v>0</v>
      </c>
      <c r="R258" s="417"/>
      <c r="S258" s="417"/>
      <c r="T258" s="417"/>
      <c r="U258" s="417"/>
      <c r="V258" s="434">
        <f>F118</f>
        <v>0</v>
      </c>
      <c r="W258" s="435"/>
      <c r="X258" s="435"/>
      <c r="Y258" s="435"/>
      <c r="Z258" s="436"/>
      <c r="AA258" s="394"/>
      <c r="AB258" s="394"/>
      <c r="AC258" s="394"/>
      <c r="AD258" s="378"/>
      <c r="AE258" s="384"/>
      <c r="AF258" s="394"/>
      <c r="AG258" s="394"/>
      <c r="AH258" s="378"/>
      <c r="AI258" s="384"/>
      <c r="AJ258" s="394"/>
      <c r="AK258" s="394"/>
      <c r="AL258" s="394"/>
      <c r="AM258" s="396">
        <f>F119</f>
        <v>0</v>
      </c>
      <c r="AN258" s="397"/>
      <c r="AO258" s="397"/>
      <c r="AP258" s="398"/>
      <c r="AQ258" s="394"/>
      <c r="AR258" s="394"/>
      <c r="AS258" s="394"/>
      <c r="AT258" s="378"/>
    </row>
    <row r="259" spans="2:48" ht="15.75" thickBot="1" x14ac:dyDescent="0.3">
      <c r="B259" s="379" t="s">
        <v>577</v>
      </c>
      <c r="C259" s="380"/>
      <c r="D259" s="380"/>
      <c r="E259" s="380"/>
      <c r="F259" s="380"/>
      <c r="G259" s="380"/>
      <c r="H259" s="380"/>
      <c r="I259" s="380"/>
      <c r="J259" s="381"/>
      <c r="K259" s="391">
        <v>250</v>
      </c>
      <c r="L259" s="392"/>
      <c r="M259" s="393"/>
      <c r="N259" s="391">
        <v>244</v>
      </c>
      <c r="O259" s="392"/>
      <c r="P259" s="392"/>
      <c r="Q259" s="396">
        <f>F176+F177</f>
        <v>5687380.75</v>
      </c>
      <c r="R259" s="397"/>
      <c r="S259" s="397"/>
      <c r="T259" s="397"/>
      <c r="U259" s="398"/>
      <c r="V259" s="438">
        <v>916306</v>
      </c>
      <c r="W259" s="438"/>
      <c r="X259" s="438"/>
      <c r="Y259" s="438"/>
      <c r="Z259" s="439"/>
      <c r="AA259" s="384"/>
      <c r="AB259" s="394"/>
      <c r="AC259" s="394"/>
      <c r="AD259" s="378"/>
      <c r="AE259" s="384"/>
      <c r="AF259" s="394"/>
      <c r="AG259" s="394"/>
      <c r="AH259" s="378"/>
      <c r="AI259" s="384"/>
      <c r="AJ259" s="394"/>
      <c r="AK259" s="394"/>
      <c r="AL259" s="378"/>
      <c r="AM259" s="437">
        <v>4771074.75</v>
      </c>
      <c r="AN259" s="438"/>
      <c r="AO259" s="438"/>
      <c r="AP259" s="439"/>
      <c r="AQ259" s="384"/>
      <c r="AR259" s="394"/>
      <c r="AS259" s="394"/>
      <c r="AT259" s="394"/>
      <c r="AU259" s="165">
        <f>Q259-V259-AA259-AE259-AI259-AM259</f>
        <v>0</v>
      </c>
      <c r="AV259" s="166" t="s">
        <v>578</v>
      </c>
    </row>
    <row r="260" spans="2:48" ht="15.75" thickBot="1" x14ac:dyDescent="0.3">
      <c r="B260" s="379" t="s">
        <v>111</v>
      </c>
      <c r="C260" s="380"/>
      <c r="D260" s="380"/>
      <c r="E260" s="380"/>
      <c r="F260" s="380"/>
      <c r="G260" s="380"/>
      <c r="H260" s="380"/>
      <c r="I260" s="380"/>
      <c r="J260" s="381"/>
      <c r="K260" s="391">
        <v>260</v>
      </c>
      <c r="L260" s="392"/>
      <c r="M260" s="393"/>
      <c r="N260" s="407" t="s">
        <v>32</v>
      </c>
      <c r="O260" s="408"/>
      <c r="P260" s="409"/>
      <c r="Q260" s="404" t="e">
        <f>SUM(V260:AT260)</f>
        <v>#REF!</v>
      </c>
      <c r="R260" s="405"/>
      <c r="S260" s="405"/>
      <c r="T260" s="405"/>
      <c r="U260" s="406"/>
      <c r="V260" s="416" t="e">
        <f>V261+V263+V264</f>
        <v>#REF!</v>
      </c>
      <c r="W260" s="417"/>
      <c r="X260" s="417"/>
      <c r="Y260" s="417"/>
      <c r="Z260" s="418"/>
      <c r="AA260" s="416">
        <f>AA261+AA263+AA264</f>
        <v>7512</v>
      </c>
      <c r="AB260" s="417"/>
      <c r="AC260" s="417"/>
      <c r="AD260" s="418"/>
      <c r="AE260" s="384">
        <f t="shared" ref="AE260" si="59">AE261+AE263+AE264</f>
        <v>0</v>
      </c>
      <c r="AF260" s="394"/>
      <c r="AG260" s="394"/>
      <c r="AH260" s="378"/>
      <c r="AI260" s="384">
        <f t="shared" ref="AI260" si="60">AI261+AI263+AI264</f>
        <v>0</v>
      </c>
      <c r="AJ260" s="394"/>
      <c r="AK260" s="394"/>
      <c r="AL260" s="378"/>
      <c r="AM260" s="416">
        <f t="shared" ref="AM260" si="61">AM261+AM263+AM264</f>
        <v>1701887.0399999991</v>
      </c>
      <c r="AN260" s="417"/>
      <c r="AO260" s="417"/>
      <c r="AP260" s="418"/>
      <c r="AQ260" s="384">
        <f t="shared" ref="AQ260" si="62">AQ261+AQ263+AQ264</f>
        <v>0</v>
      </c>
      <c r="AR260" s="394"/>
      <c r="AS260" s="394"/>
      <c r="AT260" s="378"/>
    </row>
    <row r="261" spans="2:48" x14ac:dyDescent="0.25">
      <c r="B261" s="356" t="s">
        <v>573</v>
      </c>
      <c r="C261" s="357"/>
      <c r="D261" s="357"/>
      <c r="E261" s="357"/>
      <c r="F261" s="357"/>
      <c r="G261" s="357"/>
      <c r="H261" s="357"/>
      <c r="I261" s="357"/>
      <c r="J261" s="358"/>
      <c r="K261" s="410">
        <v>261</v>
      </c>
      <c r="L261" s="411"/>
      <c r="M261" s="412"/>
      <c r="N261" s="410">
        <v>241</v>
      </c>
      <c r="O261" s="411"/>
      <c r="P261" s="412"/>
      <c r="Q261" s="416">
        <f>SUM(V261:AT261)</f>
        <v>0</v>
      </c>
      <c r="R261" s="417"/>
      <c r="S261" s="417"/>
      <c r="T261" s="417"/>
      <c r="U261" s="417"/>
      <c r="V261" s="425">
        <f>F139</f>
        <v>0</v>
      </c>
      <c r="W261" s="426"/>
      <c r="X261" s="426"/>
      <c r="Y261" s="426"/>
      <c r="Z261" s="427"/>
      <c r="AA261" s="425">
        <f>F141</f>
        <v>0</v>
      </c>
      <c r="AB261" s="426"/>
      <c r="AC261" s="426"/>
      <c r="AD261" s="427"/>
      <c r="AE261" s="417"/>
      <c r="AF261" s="417"/>
      <c r="AG261" s="417"/>
      <c r="AH261" s="418"/>
      <c r="AI261" s="416"/>
      <c r="AJ261" s="417"/>
      <c r="AK261" s="417"/>
      <c r="AL261" s="417"/>
      <c r="AM261" s="425">
        <f>F140</f>
        <v>0</v>
      </c>
      <c r="AN261" s="426"/>
      <c r="AO261" s="426"/>
      <c r="AP261" s="427"/>
      <c r="AQ261" s="417"/>
      <c r="AR261" s="417"/>
      <c r="AS261" s="417"/>
      <c r="AT261" s="418"/>
    </row>
    <row r="262" spans="2:48" ht="15.75" thickBot="1" x14ac:dyDescent="0.3">
      <c r="B262" s="359" t="s">
        <v>579</v>
      </c>
      <c r="C262" s="360"/>
      <c r="D262" s="360"/>
      <c r="E262" s="360"/>
      <c r="F262" s="360"/>
      <c r="G262" s="360"/>
      <c r="H262" s="360"/>
      <c r="I262" s="360"/>
      <c r="J262" s="361"/>
      <c r="K262" s="505"/>
      <c r="L262" s="506"/>
      <c r="M262" s="507"/>
      <c r="N262" s="505"/>
      <c r="O262" s="506"/>
      <c r="P262" s="507"/>
      <c r="Q262" s="399"/>
      <c r="R262" s="400"/>
      <c r="S262" s="400"/>
      <c r="T262" s="400"/>
      <c r="U262" s="400"/>
      <c r="V262" s="428"/>
      <c r="W262" s="429"/>
      <c r="X262" s="429"/>
      <c r="Y262" s="429"/>
      <c r="Z262" s="430"/>
      <c r="AA262" s="428"/>
      <c r="AB262" s="429"/>
      <c r="AC262" s="429"/>
      <c r="AD262" s="430"/>
      <c r="AE262" s="400"/>
      <c r="AF262" s="400"/>
      <c r="AG262" s="400"/>
      <c r="AH262" s="401"/>
      <c r="AI262" s="399"/>
      <c r="AJ262" s="400"/>
      <c r="AK262" s="400"/>
      <c r="AL262" s="400"/>
      <c r="AM262" s="428"/>
      <c r="AN262" s="429"/>
      <c r="AO262" s="429"/>
      <c r="AP262" s="430"/>
      <c r="AQ262" s="400"/>
      <c r="AR262" s="400"/>
      <c r="AS262" s="400"/>
      <c r="AT262" s="401"/>
    </row>
    <row r="263" spans="2:48" ht="15.75" thickBot="1" x14ac:dyDescent="0.3">
      <c r="B263" s="359" t="s">
        <v>580</v>
      </c>
      <c r="C263" s="360"/>
      <c r="D263" s="360"/>
      <c r="E263" s="360"/>
      <c r="F263" s="360"/>
      <c r="G263" s="360"/>
      <c r="H263" s="360"/>
      <c r="I263" s="360"/>
      <c r="J263" s="361"/>
      <c r="K263" s="365">
        <v>262</v>
      </c>
      <c r="L263" s="365"/>
      <c r="M263" s="365"/>
      <c r="N263" s="391">
        <v>243</v>
      </c>
      <c r="O263" s="392"/>
      <c r="P263" s="393"/>
      <c r="Q263" s="384">
        <f t="shared" ref="Q263:Q274" si="63">SUM(V263:AT263)</f>
        <v>0</v>
      </c>
      <c r="R263" s="394"/>
      <c r="S263" s="394"/>
      <c r="T263" s="394"/>
      <c r="U263" s="378"/>
      <c r="V263" s="399"/>
      <c r="W263" s="400"/>
      <c r="X263" s="400"/>
      <c r="Y263" s="400"/>
      <c r="Z263" s="400"/>
      <c r="AA263" s="396">
        <f>F143</f>
        <v>0</v>
      </c>
      <c r="AB263" s="397"/>
      <c r="AC263" s="397"/>
      <c r="AD263" s="398"/>
      <c r="AE263" s="394"/>
      <c r="AF263" s="394"/>
      <c r="AG263" s="394"/>
      <c r="AH263" s="378"/>
      <c r="AI263" s="384"/>
      <c r="AJ263" s="394"/>
      <c r="AK263" s="394"/>
      <c r="AL263" s="378"/>
      <c r="AM263" s="399"/>
      <c r="AN263" s="400"/>
      <c r="AO263" s="400"/>
      <c r="AP263" s="401"/>
      <c r="AQ263" s="384"/>
      <c r="AR263" s="394"/>
      <c r="AS263" s="394"/>
      <c r="AT263" s="378"/>
    </row>
    <row r="264" spans="2:48" ht="15.75" thickBot="1" x14ac:dyDescent="0.3">
      <c r="B264" s="359" t="s">
        <v>581</v>
      </c>
      <c r="C264" s="360"/>
      <c r="D264" s="360"/>
      <c r="E264" s="360"/>
      <c r="F264" s="360"/>
      <c r="G264" s="360"/>
      <c r="H264" s="360"/>
      <c r="I264" s="360"/>
      <c r="J264" s="361"/>
      <c r="K264" s="391">
        <v>263</v>
      </c>
      <c r="L264" s="392"/>
      <c r="M264" s="393"/>
      <c r="N264" s="391">
        <v>244</v>
      </c>
      <c r="O264" s="392"/>
      <c r="P264" s="393"/>
      <c r="Q264" s="384" t="e">
        <f t="shared" si="63"/>
        <v>#REF!</v>
      </c>
      <c r="R264" s="394"/>
      <c r="S264" s="394"/>
      <c r="T264" s="394"/>
      <c r="U264" s="394"/>
      <c r="V264" s="396" t="e">
        <f>F145-V259</f>
        <v>#REF!</v>
      </c>
      <c r="W264" s="397"/>
      <c r="X264" s="397"/>
      <c r="Y264" s="397"/>
      <c r="Z264" s="398"/>
      <c r="AA264" s="396">
        <f>F153</f>
        <v>7512</v>
      </c>
      <c r="AB264" s="397"/>
      <c r="AC264" s="397"/>
      <c r="AD264" s="398"/>
      <c r="AE264" s="394"/>
      <c r="AF264" s="394"/>
      <c r="AG264" s="394"/>
      <c r="AH264" s="378"/>
      <c r="AI264" s="384"/>
      <c r="AJ264" s="394"/>
      <c r="AK264" s="394"/>
      <c r="AL264" s="394"/>
      <c r="AM264" s="396">
        <f>F149-AM259</f>
        <v>1701887.0399999991</v>
      </c>
      <c r="AN264" s="397"/>
      <c r="AO264" s="397"/>
      <c r="AP264" s="398"/>
      <c r="AQ264" s="394"/>
      <c r="AR264" s="394"/>
      <c r="AS264" s="394"/>
      <c r="AT264" s="378"/>
    </row>
    <row r="265" spans="2:48" ht="15.75" thickBot="1" x14ac:dyDescent="0.3">
      <c r="B265" s="379" t="s">
        <v>582</v>
      </c>
      <c r="C265" s="380"/>
      <c r="D265" s="380"/>
      <c r="E265" s="380"/>
      <c r="F265" s="380"/>
      <c r="G265" s="380"/>
      <c r="H265" s="380"/>
      <c r="I265" s="380"/>
      <c r="J265" s="381"/>
      <c r="K265" s="391">
        <v>270</v>
      </c>
      <c r="L265" s="392"/>
      <c r="M265" s="393"/>
      <c r="N265" s="391">
        <v>830</v>
      </c>
      <c r="O265" s="392"/>
      <c r="P265" s="393"/>
      <c r="Q265" s="384">
        <f t="shared" si="63"/>
        <v>0</v>
      </c>
      <c r="R265" s="394"/>
      <c r="S265" s="394"/>
      <c r="T265" s="394"/>
      <c r="U265" s="378"/>
      <c r="V265" s="399">
        <f>V266</f>
        <v>0</v>
      </c>
      <c r="W265" s="400"/>
      <c r="X265" s="400"/>
      <c r="Y265" s="400"/>
      <c r="Z265" s="401"/>
      <c r="AA265" s="404">
        <f>AA266</f>
        <v>0</v>
      </c>
      <c r="AB265" s="405"/>
      <c r="AC265" s="405"/>
      <c r="AD265" s="406"/>
      <c r="AE265" s="384">
        <f>AE266</f>
        <v>0</v>
      </c>
      <c r="AF265" s="394"/>
      <c r="AG265" s="394"/>
      <c r="AH265" s="378"/>
      <c r="AI265" s="384">
        <f>AI266</f>
        <v>0</v>
      </c>
      <c r="AJ265" s="394"/>
      <c r="AK265" s="394"/>
      <c r="AL265" s="378"/>
      <c r="AM265" s="399">
        <f>AM266</f>
        <v>0</v>
      </c>
      <c r="AN265" s="400"/>
      <c r="AO265" s="400"/>
      <c r="AP265" s="401"/>
      <c r="AQ265" s="384">
        <f>AQ266</f>
        <v>0</v>
      </c>
      <c r="AR265" s="394"/>
      <c r="AS265" s="394"/>
      <c r="AT265" s="378"/>
    </row>
    <row r="266" spans="2:48" x14ac:dyDescent="0.25">
      <c r="B266" s="356" t="s">
        <v>573</v>
      </c>
      <c r="C266" s="357"/>
      <c r="D266" s="357"/>
      <c r="E266" s="357"/>
      <c r="F266" s="357"/>
      <c r="G266" s="357"/>
      <c r="H266" s="357"/>
      <c r="I266" s="357"/>
      <c r="J266" s="358"/>
      <c r="K266" s="410">
        <v>271</v>
      </c>
      <c r="L266" s="411"/>
      <c r="M266" s="412"/>
      <c r="N266" s="410">
        <v>831</v>
      </c>
      <c r="O266" s="411"/>
      <c r="P266" s="412"/>
      <c r="Q266" s="416">
        <f t="shared" si="63"/>
        <v>0</v>
      </c>
      <c r="R266" s="417"/>
      <c r="S266" s="417"/>
      <c r="T266" s="417"/>
      <c r="U266" s="417"/>
      <c r="V266" s="419">
        <f>F135</f>
        <v>0</v>
      </c>
      <c r="W266" s="420"/>
      <c r="X266" s="420"/>
      <c r="Y266" s="420"/>
      <c r="Z266" s="421"/>
      <c r="AA266" s="417"/>
      <c r="AB266" s="417"/>
      <c r="AC266" s="417"/>
      <c r="AD266" s="418"/>
      <c r="AE266" s="416"/>
      <c r="AF266" s="417"/>
      <c r="AG266" s="417"/>
      <c r="AH266" s="418"/>
      <c r="AI266" s="416"/>
      <c r="AJ266" s="417"/>
      <c r="AK266" s="417"/>
      <c r="AL266" s="417"/>
      <c r="AM266" s="425">
        <f>F136</f>
        <v>0</v>
      </c>
      <c r="AN266" s="426"/>
      <c r="AO266" s="426"/>
      <c r="AP266" s="427"/>
      <c r="AQ266" s="417"/>
      <c r="AR266" s="417"/>
      <c r="AS266" s="417"/>
      <c r="AT266" s="418"/>
    </row>
    <row r="267" spans="2:48" ht="15.75" thickBot="1" x14ac:dyDescent="0.3">
      <c r="B267" s="461" t="s">
        <v>583</v>
      </c>
      <c r="C267" s="462"/>
      <c r="D267" s="462"/>
      <c r="E267" s="462"/>
      <c r="F267" s="462"/>
      <c r="G267" s="462"/>
      <c r="H267" s="462"/>
      <c r="I267" s="462"/>
      <c r="J267" s="463"/>
      <c r="K267" s="413"/>
      <c r="L267" s="414"/>
      <c r="M267" s="415"/>
      <c r="N267" s="413"/>
      <c r="O267" s="414"/>
      <c r="P267" s="415"/>
      <c r="Q267" s="404">
        <f t="shared" si="63"/>
        <v>0</v>
      </c>
      <c r="R267" s="405"/>
      <c r="S267" s="405"/>
      <c r="T267" s="405"/>
      <c r="U267" s="405"/>
      <c r="V267" s="422"/>
      <c r="W267" s="423"/>
      <c r="X267" s="423"/>
      <c r="Y267" s="423"/>
      <c r="Z267" s="424"/>
      <c r="AA267" s="405"/>
      <c r="AB267" s="405"/>
      <c r="AC267" s="405"/>
      <c r="AD267" s="406"/>
      <c r="AE267" s="404"/>
      <c r="AF267" s="405"/>
      <c r="AG267" s="405"/>
      <c r="AH267" s="406"/>
      <c r="AI267" s="404"/>
      <c r="AJ267" s="405"/>
      <c r="AK267" s="405"/>
      <c r="AL267" s="405"/>
      <c r="AM267" s="428"/>
      <c r="AN267" s="429"/>
      <c r="AO267" s="429"/>
      <c r="AP267" s="430"/>
      <c r="AQ267" s="405"/>
      <c r="AR267" s="405"/>
      <c r="AS267" s="405"/>
      <c r="AT267" s="406"/>
    </row>
    <row r="268" spans="2:48" ht="15.75" thickBot="1" x14ac:dyDescent="0.3">
      <c r="B268" s="458" t="s">
        <v>120</v>
      </c>
      <c r="C268" s="459"/>
      <c r="D268" s="459"/>
      <c r="E268" s="459"/>
      <c r="F268" s="459"/>
      <c r="G268" s="459"/>
      <c r="H268" s="459"/>
      <c r="I268" s="459"/>
      <c r="J268" s="460"/>
      <c r="K268" s="391">
        <v>280</v>
      </c>
      <c r="L268" s="392"/>
      <c r="M268" s="393"/>
      <c r="N268" s="391">
        <v>400</v>
      </c>
      <c r="O268" s="392"/>
      <c r="P268" s="393"/>
      <c r="Q268" s="384">
        <f t="shared" si="63"/>
        <v>0</v>
      </c>
      <c r="R268" s="394"/>
      <c r="S268" s="394"/>
      <c r="T268" s="394"/>
      <c r="U268" s="378"/>
      <c r="V268" s="404">
        <f>V269</f>
        <v>0</v>
      </c>
      <c r="W268" s="405"/>
      <c r="X268" s="405"/>
      <c r="Y268" s="405"/>
      <c r="Z268" s="406"/>
      <c r="AA268" s="384">
        <f>AA269</f>
        <v>0</v>
      </c>
      <c r="AB268" s="394"/>
      <c r="AC268" s="394"/>
      <c r="AD268" s="378"/>
      <c r="AE268" s="416">
        <f>AE269</f>
        <v>0</v>
      </c>
      <c r="AF268" s="417"/>
      <c r="AG268" s="417"/>
      <c r="AH268" s="418"/>
      <c r="AI268" s="384">
        <f>AI269</f>
        <v>0</v>
      </c>
      <c r="AJ268" s="394"/>
      <c r="AK268" s="394"/>
      <c r="AL268" s="378"/>
      <c r="AM268" s="404">
        <f>AM269</f>
        <v>0</v>
      </c>
      <c r="AN268" s="405"/>
      <c r="AO268" s="405"/>
      <c r="AP268" s="406"/>
      <c r="AQ268" s="384">
        <f>AQ269</f>
        <v>0</v>
      </c>
      <c r="AR268" s="394"/>
      <c r="AS268" s="394"/>
      <c r="AT268" s="378"/>
    </row>
    <row r="269" spans="2:48" x14ac:dyDescent="0.25">
      <c r="B269" s="455" t="s">
        <v>584</v>
      </c>
      <c r="C269" s="456"/>
      <c r="D269" s="456"/>
      <c r="E269" s="456"/>
      <c r="F269" s="456"/>
      <c r="G269" s="456"/>
      <c r="H269" s="456"/>
      <c r="I269" s="456"/>
      <c r="J269" s="457"/>
      <c r="K269" s="410">
        <v>281</v>
      </c>
      <c r="L269" s="411"/>
      <c r="M269" s="412"/>
      <c r="N269" s="410">
        <v>406</v>
      </c>
      <c r="O269" s="411"/>
      <c r="P269" s="412"/>
      <c r="Q269" s="416">
        <f t="shared" si="63"/>
        <v>0</v>
      </c>
      <c r="R269" s="417"/>
      <c r="S269" s="417"/>
      <c r="T269" s="417"/>
      <c r="U269" s="418"/>
      <c r="V269" s="464"/>
      <c r="W269" s="465"/>
      <c r="X269" s="465"/>
      <c r="Y269" s="465"/>
      <c r="Z269" s="466"/>
      <c r="AA269" s="416"/>
      <c r="AB269" s="417"/>
      <c r="AC269" s="417"/>
      <c r="AD269" s="417"/>
      <c r="AE269" s="425">
        <f>F159</f>
        <v>0</v>
      </c>
      <c r="AF269" s="426"/>
      <c r="AG269" s="426"/>
      <c r="AH269" s="427"/>
      <c r="AI269" s="417"/>
      <c r="AJ269" s="417"/>
      <c r="AK269" s="417"/>
      <c r="AL269" s="418"/>
      <c r="AM269" s="416"/>
      <c r="AN269" s="417"/>
      <c r="AO269" s="417"/>
      <c r="AP269" s="418"/>
      <c r="AQ269" s="416"/>
      <c r="AR269" s="417"/>
      <c r="AS269" s="417"/>
      <c r="AT269" s="418"/>
    </row>
    <row r="270" spans="2:48" ht="15.75" thickBot="1" x14ac:dyDescent="0.3">
      <c r="B270" s="446" t="s">
        <v>585</v>
      </c>
      <c r="C270" s="447"/>
      <c r="D270" s="447"/>
      <c r="E270" s="447"/>
      <c r="F270" s="447"/>
      <c r="G270" s="447"/>
      <c r="H270" s="447"/>
      <c r="I270" s="447"/>
      <c r="J270" s="448"/>
      <c r="K270" s="413"/>
      <c r="L270" s="414"/>
      <c r="M270" s="415"/>
      <c r="N270" s="413"/>
      <c r="O270" s="414"/>
      <c r="P270" s="415"/>
      <c r="Q270" s="404">
        <f t="shared" si="63"/>
        <v>0</v>
      </c>
      <c r="R270" s="405"/>
      <c r="S270" s="405"/>
      <c r="T270" s="405"/>
      <c r="U270" s="406"/>
      <c r="V270" s="467"/>
      <c r="W270" s="468"/>
      <c r="X270" s="468"/>
      <c r="Y270" s="468"/>
      <c r="Z270" s="469"/>
      <c r="AA270" s="404"/>
      <c r="AB270" s="405"/>
      <c r="AC270" s="405"/>
      <c r="AD270" s="405"/>
      <c r="AE270" s="428"/>
      <c r="AF270" s="429"/>
      <c r="AG270" s="429"/>
      <c r="AH270" s="430"/>
      <c r="AI270" s="405"/>
      <c r="AJ270" s="405"/>
      <c r="AK270" s="405"/>
      <c r="AL270" s="406"/>
      <c r="AM270" s="404"/>
      <c r="AN270" s="405"/>
      <c r="AO270" s="405"/>
      <c r="AP270" s="406"/>
      <c r="AQ270" s="404"/>
      <c r="AR270" s="405"/>
      <c r="AS270" s="405"/>
      <c r="AT270" s="406"/>
    </row>
    <row r="271" spans="2:48" x14ac:dyDescent="0.25">
      <c r="B271" s="440" t="s">
        <v>586</v>
      </c>
      <c r="C271" s="441"/>
      <c r="D271" s="441"/>
      <c r="E271" s="441"/>
      <c r="F271" s="441"/>
      <c r="G271" s="441"/>
      <c r="H271" s="441"/>
      <c r="I271" s="441"/>
      <c r="J271" s="442"/>
      <c r="K271" s="411">
        <v>300</v>
      </c>
      <c r="L271" s="411"/>
      <c r="M271" s="412"/>
      <c r="N271" s="449" t="s">
        <v>32</v>
      </c>
      <c r="O271" s="450"/>
      <c r="P271" s="451"/>
      <c r="Q271" s="416">
        <f t="shared" si="63"/>
        <v>0</v>
      </c>
      <c r="R271" s="417"/>
      <c r="S271" s="417"/>
      <c r="T271" s="417"/>
      <c r="U271" s="418"/>
      <c r="V271" s="464">
        <f>SUM(V273:Z274)</f>
        <v>0</v>
      </c>
      <c r="W271" s="465"/>
      <c r="X271" s="465"/>
      <c r="Y271" s="465"/>
      <c r="Z271" s="466"/>
      <c r="AA271" s="416">
        <f t="shared" ref="AA271" si="64">SUM(AA273:AE274)</f>
        <v>0</v>
      </c>
      <c r="AB271" s="417"/>
      <c r="AC271" s="417"/>
      <c r="AD271" s="418"/>
      <c r="AE271" s="399">
        <f t="shared" ref="AE271" si="65">SUM(AE273:AI274)</f>
        <v>0</v>
      </c>
      <c r="AF271" s="400"/>
      <c r="AG271" s="400"/>
      <c r="AH271" s="401"/>
      <c r="AI271" s="416">
        <f t="shared" ref="AI271" si="66">SUM(AI273:AM274)</f>
        <v>0</v>
      </c>
      <c r="AJ271" s="417"/>
      <c r="AK271" s="417"/>
      <c r="AL271" s="418"/>
      <c r="AM271" s="416">
        <f t="shared" ref="AM271" si="67">SUM(AM273:AQ274)</f>
        <v>0</v>
      </c>
      <c r="AN271" s="417"/>
      <c r="AO271" s="417"/>
      <c r="AP271" s="418"/>
      <c r="AQ271" s="416">
        <f t="shared" ref="AQ271" si="68">SUM(AQ273:AU274)</f>
        <v>0</v>
      </c>
      <c r="AR271" s="417"/>
      <c r="AS271" s="417"/>
      <c r="AT271" s="418"/>
    </row>
    <row r="272" spans="2:48" x14ac:dyDescent="0.25">
      <c r="B272" s="443" t="s">
        <v>587</v>
      </c>
      <c r="C272" s="444"/>
      <c r="D272" s="444"/>
      <c r="E272" s="444"/>
      <c r="F272" s="444"/>
      <c r="G272" s="444"/>
      <c r="H272" s="444"/>
      <c r="I272" s="444"/>
      <c r="J272" s="445"/>
      <c r="K272" s="414"/>
      <c r="L272" s="414"/>
      <c r="M272" s="415"/>
      <c r="N272" s="452"/>
      <c r="O272" s="453"/>
      <c r="P272" s="454"/>
      <c r="Q272" s="404">
        <f t="shared" si="63"/>
        <v>0</v>
      </c>
      <c r="R272" s="405"/>
      <c r="S272" s="405"/>
      <c r="T272" s="405"/>
      <c r="U272" s="406"/>
      <c r="V272" s="467"/>
      <c r="W272" s="468"/>
      <c r="X272" s="468"/>
      <c r="Y272" s="468"/>
      <c r="Z272" s="469"/>
      <c r="AA272" s="404"/>
      <c r="AB272" s="405"/>
      <c r="AC272" s="405"/>
      <c r="AD272" s="406"/>
      <c r="AE272" s="404"/>
      <c r="AF272" s="405"/>
      <c r="AG272" s="405"/>
      <c r="AH272" s="406"/>
      <c r="AI272" s="404"/>
      <c r="AJ272" s="405"/>
      <c r="AK272" s="405"/>
      <c r="AL272" s="406"/>
      <c r="AM272" s="404"/>
      <c r="AN272" s="405"/>
      <c r="AO272" s="405"/>
      <c r="AP272" s="406"/>
      <c r="AQ272" s="404"/>
      <c r="AR272" s="405"/>
      <c r="AS272" s="405"/>
      <c r="AT272" s="406"/>
    </row>
    <row r="273" spans="2:48" x14ac:dyDescent="0.25">
      <c r="B273" s="443" t="s">
        <v>588</v>
      </c>
      <c r="C273" s="444"/>
      <c r="D273" s="444"/>
      <c r="E273" s="444"/>
      <c r="F273" s="444"/>
      <c r="G273" s="444"/>
      <c r="H273" s="444"/>
      <c r="I273" s="444"/>
      <c r="J273" s="445"/>
      <c r="K273" s="391">
        <v>310</v>
      </c>
      <c r="L273" s="392"/>
      <c r="M273" s="393"/>
      <c r="N273" s="391"/>
      <c r="O273" s="392"/>
      <c r="P273" s="393"/>
      <c r="Q273" s="384">
        <f t="shared" si="63"/>
        <v>0</v>
      </c>
      <c r="R273" s="394"/>
      <c r="S273" s="394"/>
      <c r="T273" s="394"/>
      <c r="U273" s="378"/>
      <c r="V273" s="384"/>
      <c r="W273" s="394"/>
      <c r="X273" s="394"/>
      <c r="Y273" s="394"/>
      <c r="Z273" s="378"/>
      <c r="AA273" s="384"/>
      <c r="AB273" s="394"/>
      <c r="AC273" s="394"/>
      <c r="AD273" s="378"/>
      <c r="AE273" s="384"/>
      <c r="AF273" s="394"/>
      <c r="AG273" s="394"/>
      <c r="AH273" s="378"/>
      <c r="AI273" s="384"/>
      <c r="AJ273" s="394"/>
      <c r="AK273" s="394"/>
      <c r="AL273" s="378"/>
      <c r="AM273" s="384"/>
      <c r="AN273" s="394"/>
      <c r="AO273" s="394"/>
      <c r="AP273" s="378"/>
      <c r="AQ273" s="384"/>
      <c r="AR273" s="394"/>
      <c r="AS273" s="394"/>
      <c r="AT273" s="378"/>
    </row>
    <row r="274" spans="2:48" x14ac:dyDescent="0.25">
      <c r="B274" s="470" t="s">
        <v>589</v>
      </c>
      <c r="C274" s="471"/>
      <c r="D274" s="471"/>
      <c r="E274" s="471"/>
      <c r="F274" s="471"/>
      <c r="G274" s="471"/>
      <c r="H274" s="471"/>
      <c r="I274" s="471"/>
      <c r="J274" s="472"/>
      <c r="K274" s="391">
        <v>320</v>
      </c>
      <c r="L274" s="392"/>
      <c r="M274" s="393"/>
      <c r="N274" s="391"/>
      <c r="O274" s="392"/>
      <c r="P274" s="393"/>
      <c r="Q274" s="384">
        <f t="shared" si="63"/>
        <v>0</v>
      </c>
      <c r="R274" s="394"/>
      <c r="S274" s="394"/>
      <c r="T274" s="394"/>
      <c r="U274" s="378"/>
      <c r="V274" s="384"/>
      <c r="W274" s="394"/>
      <c r="X274" s="394"/>
      <c r="Y274" s="394"/>
      <c r="Z274" s="378"/>
      <c r="AA274" s="384"/>
      <c r="AB274" s="394"/>
      <c r="AC274" s="394"/>
      <c r="AD274" s="378"/>
      <c r="AE274" s="384"/>
      <c r="AF274" s="394"/>
      <c r="AG274" s="394"/>
      <c r="AH274" s="378"/>
      <c r="AI274" s="384"/>
      <c r="AJ274" s="394"/>
      <c r="AK274" s="394"/>
      <c r="AL274" s="378"/>
      <c r="AM274" s="384"/>
      <c r="AN274" s="394"/>
      <c r="AO274" s="394"/>
      <c r="AP274" s="378"/>
      <c r="AQ274" s="384"/>
      <c r="AR274" s="394"/>
      <c r="AS274" s="394"/>
      <c r="AT274" s="378"/>
    </row>
    <row r="275" spans="2:48" x14ac:dyDescent="0.25">
      <c r="B275" s="440" t="s">
        <v>590</v>
      </c>
      <c r="C275" s="441"/>
      <c r="D275" s="441"/>
      <c r="E275" s="441"/>
      <c r="F275" s="441"/>
      <c r="G275" s="441"/>
      <c r="H275" s="441"/>
      <c r="I275" s="441"/>
      <c r="J275" s="442"/>
      <c r="K275" s="411">
        <v>400</v>
      </c>
      <c r="L275" s="411"/>
      <c r="M275" s="412"/>
      <c r="N275" s="449" t="s">
        <v>32</v>
      </c>
      <c r="O275" s="450"/>
      <c r="P275" s="451"/>
      <c r="Q275" s="416">
        <f>SUM(V275:AT275)</f>
        <v>0</v>
      </c>
      <c r="R275" s="417"/>
      <c r="S275" s="417"/>
      <c r="T275" s="417"/>
      <c r="U275" s="418"/>
      <c r="V275" s="464">
        <f>SUM(V277:Z278)</f>
        <v>0</v>
      </c>
      <c r="W275" s="465"/>
      <c r="X275" s="465"/>
      <c r="Y275" s="465"/>
      <c r="Z275" s="466"/>
      <c r="AA275" s="416">
        <f t="shared" ref="AA275" si="69">SUM(AA277:AE278)</f>
        <v>0</v>
      </c>
      <c r="AB275" s="417"/>
      <c r="AC275" s="417"/>
      <c r="AD275" s="418"/>
      <c r="AE275" s="416">
        <f t="shared" ref="AE275" si="70">SUM(AE277:AI278)</f>
        <v>0</v>
      </c>
      <c r="AF275" s="417"/>
      <c r="AG275" s="417"/>
      <c r="AH275" s="418"/>
      <c r="AI275" s="416">
        <f t="shared" ref="AI275" si="71">SUM(AI277:AM278)</f>
        <v>0</v>
      </c>
      <c r="AJ275" s="417"/>
      <c r="AK275" s="417"/>
      <c r="AL275" s="418"/>
      <c r="AM275" s="416">
        <f t="shared" ref="AM275" si="72">SUM(AM277:AQ278)</f>
        <v>0</v>
      </c>
      <c r="AN275" s="417"/>
      <c r="AO275" s="417"/>
      <c r="AP275" s="418"/>
      <c r="AQ275" s="416">
        <f t="shared" ref="AQ275" si="73">SUM(AQ277:AU278)</f>
        <v>0</v>
      </c>
      <c r="AR275" s="417"/>
      <c r="AS275" s="417"/>
      <c r="AT275" s="418"/>
    </row>
    <row r="276" spans="2:48" x14ac:dyDescent="0.25">
      <c r="B276" s="443" t="s">
        <v>587</v>
      </c>
      <c r="C276" s="444"/>
      <c r="D276" s="444"/>
      <c r="E276" s="444"/>
      <c r="F276" s="444"/>
      <c r="G276" s="444"/>
      <c r="H276" s="444"/>
      <c r="I276" s="444"/>
      <c r="J276" s="445"/>
      <c r="K276" s="414"/>
      <c r="L276" s="414"/>
      <c r="M276" s="415"/>
      <c r="N276" s="452"/>
      <c r="O276" s="453"/>
      <c r="P276" s="454"/>
      <c r="Q276" s="404">
        <f>SUM(V276:AT276)</f>
        <v>0</v>
      </c>
      <c r="R276" s="405"/>
      <c r="S276" s="405"/>
      <c r="T276" s="405"/>
      <c r="U276" s="406"/>
      <c r="V276" s="467"/>
      <c r="W276" s="468"/>
      <c r="X276" s="468"/>
      <c r="Y276" s="468"/>
      <c r="Z276" s="469"/>
      <c r="AA276" s="404"/>
      <c r="AB276" s="405"/>
      <c r="AC276" s="405"/>
      <c r="AD276" s="406"/>
      <c r="AE276" s="404"/>
      <c r="AF276" s="405"/>
      <c r="AG276" s="405"/>
      <c r="AH276" s="406"/>
      <c r="AI276" s="404"/>
      <c r="AJ276" s="405"/>
      <c r="AK276" s="405"/>
      <c r="AL276" s="406"/>
      <c r="AM276" s="404"/>
      <c r="AN276" s="405"/>
      <c r="AO276" s="405"/>
      <c r="AP276" s="406"/>
      <c r="AQ276" s="404"/>
      <c r="AR276" s="405"/>
      <c r="AS276" s="405"/>
      <c r="AT276" s="406"/>
    </row>
    <row r="277" spans="2:48" x14ac:dyDescent="0.25">
      <c r="B277" s="443" t="s">
        <v>591</v>
      </c>
      <c r="C277" s="444"/>
      <c r="D277" s="444"/>
      <c r="E277" s="444"/>
      <c r="F277" s="444"/>
      <c r="G277" s="444"/>
      <c r="H277" s="444"/>
      <c r="I277" s="444"/>
      <c r="J277" s="445"/>
      <c r="K277" s="391">
        <v>410</v>
      </c>
      <c r="L277" s="392"/>
      <c r="M277" s="393"/>
      <c r="N277" s="391"/>
      <c r="O277" s="392"/>
      <c r="P277" s="393"/>
      <c r="Q277" s="384">
        <f t="shared" ref="Q277:Q278" si="74">SUM(V277:AT277)</f>
        <v>0</v>
      </c>
      <c r="R277" s="394"/>
      <c r="S277" s="394"/>
      <c r="T277" s="394"/>
      <c r="U277" s="378"/>
      <c r="V277" s="384"/>
      <c r="W277" s="394"/>
      <c r="X277" s="394"/>
      <c r="Y277" s="394"/>
      <c r="Z277" s="378"/>
      <c r="AA277" s="384"/>
      <c r="AB277" s="394"/>
      <c r="AC277" s="394"/>
      <c r="AD277" s="378"/>
      <c r="AE277" s="384"/>
      <c r="AF277" s="394"/>
      <c r="AG277" s="394"/>
      <c r="AH277" s="378"/>
      <c r="AI277" s="384"/>
      <c r="AJ277" s="394"/>
      <c r="AK277" s="394"/>
      <c r="AL277" s="378"/>
      <c r="AM277" s="384"/>
      <c r="AN277" s="394"/>
      <c r="AO277" s="394"/>
      <c r="AP277" s="378"/>
      <c r="AQ277" s="384"/>
      <c r="AR277" s="394"/>
      <c r="AS277" s="394"/>
      <c r="AT277" s="378"/>
    </row>
    <row r="278" spans="2:48" ht="15.75" thickBot="1" x14ac:dyDescent="0.3">
      <c r="B278" s="479" t="s">
        <v>592</v>
      </c>
      <c r="C278" s="480"/>
      <c r="D278" s="480"/>
      <c r="E278" s="480"/>
      <c r="F278" s="480"/>
      <c r="G278" s="480"/>
      <c r="H278" s="480"/>
      <c r="I278" s="480"/>
      <c r="J278" s="481"/>
      <c r="K278" s="391">
        <v>420</v>
      </c>
      <c r="L278" s="392"/>
      <c r="M278" s="393"/>
      <c r="N278" s="391"/>
      <c r="O278" s="392"/>
      <c r="P278" s="393"/>
      <c r="Q278" s="416">
        <f t="shared" si="74"/>
        <v>0</v>
      </c>
      <c r="R278" s="417"/>
      <c r="S278" s="417"/>
      <c r="T278" s="417"/>
      <c r="U278" s="418"/>
      <c r="V278" s="384"/>
      <c r="W278" s="394"/>
      <c r="X278" s="394"/>
      <c r="Y278" s="394"/>
      <c r="Z278" s="378"/>
      <c r="AA278" s="384"/>
      <c r="AB278" s="394"/>
      <c r="AC278" s="394"/>
      <c r="AD278" s="378"/>
      <c r="AE278" s="384"/>
      <c r="AF278" s="394"/>
      <c r="AG278" s="394"/>
      <c r="AH278" s="378"/>
      <c r="AI278" s="384"/>
      <c r="AJ278" s="394"/>
      <c r="AK278" s="394"/>
      <c r="AL278" s="378"/>
      <c r="AM278" s="384"/>
      <c r="AN278" s="394"/>
      <c r="AO278" s="394"/>
      <c r="AP278" s="378"/>
      <c r="AQ278" s="384"/>
      <c r="AR278" s="394"/>
      <c r="AS278" s="394"/>
      <c r="AT278" s="378"/>
    </row>
    <row r="279" spans="2:48" ht="15.75" thickBot="1" x14ac:dyDescent="0.3">
      <c r="B279" s="362" t="s">
        <v>593</v>
      </c>
      <c r="C279" s="363"/>
      <c r="D279" s="363"/>
      <c r="E279" s="363"/>
      <c r="F279" s="363"/>
      <c r="G279" s="363"/>
      <c r="H279" s="363"/>
      <c r="I279" s="363"/>
      <c r="J279" s="364"/>
      <c r="K279" s="391">
        <v>500</v>
      </c>
      <c r="L279" s="392"/>
      <c r="M279" s="393"/>
      <c r="N279" s="407" t="s">
        <v>32</v>
      </c>
      <c r="O279" s="408"/>
      <c r="P279" s="408"/>
      <c r="Q279" s="396">
        <f>F58</f>
        <v>1567307.64</v>
      </c>
      <c r="R279" s="397"/>
      <c r="S279" s="397"/>
      <c r="T279" s="397"/>
      <c r="U279" s="398"/>
      <c r="V279" s="474">
        <v>792455.85</v>
      </c>
      <c r="W279" s="474"/>
      <c r="X279" s="474"/>
      <c r="Y279" s="474"/>
      <c r="Z279" s="475"/>
      <c r="AA279" s="476">
        <v>0</v>
      </c>
      <c r="AB279" s="477"/>
      <c r="AC279" s="477"/>
      <c r="AD279" s="478"/>
      <c r="AE279" s="476"/>
      <c r="AF279" s="477"/>
      <c r="AG279" s="477"/>
      <c r="AH279" s="478"/>
      <c r="AI279" s="384"/>
      <c r="AJ279" s="394"/>
      <c r="AK279" s="394"/>
      <c r="AL279" s="378"/>
      <c r="AM279" s="476">
        <v>774851.79</v>
      </c>
      <c r="AN279" s="477"/>
      <c r="AO279" s="477"/>
      <c r="AP279" s="478"/>
      <c r="AQ279" s="384"/>
      <c r="AR279" s="394"/>
      <c r="AS279" s="394"/>
      <c r="AT279" s="394"/>
      <c r="AU279" s="165">
        <f>Q279-V279-AA279-AE279-AM279-AI279</f>
        <v>-1.1641532182693481E-10</v>
      </c>
      <c r="AV279" s="166" t="s">
        <v>594</v>
      </c>
    </row>
    <row r="280" spans="2:48" x14ac:dyDescent="0.25">
      <c r="B280" s="362" t="s">
        <v>595</v>
      </c>
      <c r="C280" s="363"/>
      <c r="D280" s="363"/>
      <c r="E280" s="363"/>
      <c r="F280" s="363"/>
      <c r="G280" s="363"/>
      <c r="H280" s="363"/>
      <c r="I280" s="363"/>
      <c r="J280" s="364"/>
      <c r="K280" s="391">
        <v>600</v>
      </c>
      <c r="L280" s="392"/>
      <c r="M280" s="393"/>
      <c r="N280" s="407" t="s">
        <v>32</v>
      </c>
      <c r="O280" s="408"/>
      <c r="P280" s="409"/>
      <c r="Q280" s="404" t="e">
        <f>Q279+Q226-Q238</f>
        <v>#REF!</v>
      </c>
      <c r="R280" s="405"/>
      <c r="S280" s="405"/>
      <c r="T280" s="405"/>
      <c r="U280" s="406"/>
      <c r="V280" s="384" t="e">
        <f>V279+V226-V238</f>
        <v>#REF!</v>
      </c>
      <c r="W280" s="394"/>
      <c r="X280" s="394"/>
      <c r="Y280" s="394"/>
      <c r="Z280" s="378"/>
      <c r="AA280" s="384">
        <f>AA279+AA226-AA238</f>
        <v>1623371.6999999997</v>
      </c>
      <c r="AB280" s="394"/>
      <c r="AC280" s="394"/>
      <c r="AD280" s="378"/>
      <c r="AE280" s="384">
        <f>AE279+AE226-AE238</f>
        <v>0</v>
      </c>
      <c r="AF280" s="394"/>
      <c r="AG280" s="394"/>
      <c r="AH280" s="378"/>
      <c r="AI280" s="384">
        <f>AI279+AI226-AI238</f>
        <v>0</v>
      </c>
      <c r="AJ280" s="394"/>
      <c r="AK280" s="394"/>
      <c r="AL280" s="378"/>
      <c r="AM280" s="384">
        <f>AM279+AM226-AM238</f>
        <v>0</v>
      </c>
      <c r="AN280" s="394"/>
      <c r="AO280" s="394"/>
      <c r="AP280" s="378"/>
      <c r="AQ280" s="384">
        <f>AQ279+AQ226-AQ238</f>
        <v>0</v>
      </c>
      <c r="AR280" s="394"/>
      <c r="AS280" s="394"/>
      <c r="AT280" s="378"/>
    </row>
    <row r="281" spans="2:48" x14ac:dyDescent="0.25">
      <c r="N281" s="167"/>
    </row>
    <row r="282" spans="2:48" x14ac:dyDescent="0.25">
      <c r="B282" s="473" t="s">
        <v>596</v>
      </c>
      <c r="C282" s="473"/>
      <c r="D282" s="473"/>
      <c r="E282" s="473"/>
      <c r="F282" s="473"/>
      <c r="G282" s="473"/>
      <c r="H282" s="473"/>
      <c r="I282" s="473"/>
      <c r="J282" s="473"/>
      <c r="K282" s="473"/>
      <c r="L282" s="473"/>
      <c r="M282" s="473"/>
      <c r="N282" s="473"/>
      <c r="O282" s="473"/>
      <c r="P282" s="473"/>
      <c r="Q282" s="473"/>
      <c r="R282" s="473"/>
      <c r="S282" s="473"/>
      <c r="T282" s="473"/>
      <c r="U282" s="473"/>
      <c r="V282" s="473"/>
      <c r="W282" s="473"/>
      <c r="X282" s="473"/>
      <c r="Y282" s="473"/>
      <c r="Z282" s="473"/>
      <c r="AA282" s="473"/>
      <c r="AB282" s="473"/>
      <c r="AC282" s="473"/>
      <c r="AD282" s="473"/>
      <c r="AE282" s="473"/>
      <c r="AF282" s="473"/>
      <c r="AG282" s="473"/>
      <c r="AH282" s="473"/>
      <c r="AI282" s="473"/>
      <c r="AJ282" s="473"/>
      <c r="AK282" s="473"/>
      <c r="AL282" s="473"/>
      <c r="AM282" s="473"/>
      <c r="AN282" s="473"/>
      <c r="AO282" s="473"/>
      <c r="AP282" s="473"/>
      <c r="AQ282" s="473"/>
      <c r="AR282" s="473"/>
      <c r="AS282" s="473"/>
      <c r="AT282" s="473"/>
    </row>
    <row r="283" spans="2:48" x14ac:dyDescent="0.25">
      <c r="B283" s="473" t="s">
        <v>597</v>
      </c>
      <c r="C283" s="473"/>
      <c r="D283" s="473"/>
      <c r="E283" s="473"/>
      <c r="F283" s="473"/>
      <c r="G283" s="473"/>
      <c r="H283" s="473"/>
      <c r="I283" s="473"/>
      <c r="J283" s="473"/>
      <c r="K283" s="473"/>
      <c r="L283" s="473"/>
      <c r="M283" s="473"/>
      <c r="N283" s="473"/>
      <c r="O283" s="473"/>
      <c r="P283" s="473"/>
      <c r="Q283" s="473"/>
      <c r="R283" s="473"/>
      <c r="S283" s="473"/>
      <c r="T283" s="473"/>
      <c r="U283" s="473"/>
      <c r="V283" s="473"/>
      <c r="W283" s="473"/>
      <c r="X283" s="473"/>
      <c r="Y283" s="473"/>
      <c r="Z283" s="473"/>
      <c r="AA283" s="473"/>
      <c r="AB283" s="473"/>
      <c r="AC283" s="473"/>
      <c r="AD283" s="473"/>
      <c r="AE283" s="473"/>
      <c r="AF283" s="473"/>
      <c r="AG283" s="473"/>
      <c r="AH283" s="473"/>
      <c r="AI283" s="473"/>
      <c r="AJ283" s="473"/>
      <c r="AK283" s="473"/>
      <c r="AL283" s="473"/>
      <c r="AM283" s="473"/>
      <c r="AN283" s="473"/>
      <c r="AO283" s="473"/>
      <c r="AP283" s="473"/>
      <c r="AQ283" s="473"/>
      <c r="AR283" s="473"/>
      <c r="AS283" s="473"/>
      <c r="AT283" s="473"/>
    </row>
    <row r="284" spans="2:48" x14ac:dyDescent="0.25">
      <c r="B284" s="473" t="e">
        <f>'[1]ПФХД стр.2'!B282</f>
        <v>#REF!</v>
      </c>
      <c r="C284" s="473"/>
      <c r="D284" s="473"/>
      <c r="E284" s="473"/>
      <c r="F284" s="473"/>
      <c r="G284" s="473"/>
      <c r="H284" s="473"/>
      <c r="I284" s="473"/>
      <c r="J284" s="473"/>
      <c r="K284" s="473"/>
      <c r="L284" s="473"/>
      <c r="M284" s="473"/>
      <c r="N284" s="473"/>
      <c r="O284" s="473"/>
      <c r="P284" s="473"/>
      <c r="Q284" s="473"/>
      <c r="R284" s="473"/>
      <c r="S284" s="473"/>
      <c r="T284" s="473"/>
      <c r="U284" s="473"/>
      <c r="V284" s="473"/>
      <c r="W284" s="473"/>
      <c r="X284" s="473"/>
      <c r="Y284" s="473"/>
      <c r="Z284" s="473"/>
      <c r="AA284" s="473"/>
      <c r="AB284" s="473"/>
      <c r="AC284" s="473"/>
      <c r="AD284" s="473"/>
      <c r="AE284" s="473"/>
      <c r="AF284" s="473"/>
      <c r="AG284" s="473"/>
      <c r="AH284" s="473"/>
      <c r="AI284" s="473"/>
      <c r="AJ284" s="473"/>
      <c r="AK284" s="473"/>
      <c r="AL284" s="473"/>
      <c r="AM284" s="473"/>
      <c r="AN284" s="473"/>
      <c r="AO284" s="473"/>
      <c r="AP284" s="473"/>
      <c r="AQ284" s="473"/>
      <c r="AR284" s="473"/>
      <c r="AS284" s="473"/>
      <c r="AT284" s="473"/>
    </row>
    <row r="285" spans="2:48" x14ac:dyDescent="0.25">
      <c r="B285" s="168"/>
      <c r="C285" s="168"/>
      <c r="D285" s="168"/>
      <c r="E285" s="168"/>
      <c r="F285" s="168"/>
      <c r="G285" s="168"/>
      <c r="H285" s="168"/>
      <c r="I285" s="168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  <c r="AA285" s="190"/>
      <c r="AB285" s="190"/>
      <c r="AC285" s="190"/>
      <c r="AD285" s="190"/>
      <c r="AE285" s="190"/>
      <c r="AF285" s="190"/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0"/>
      <c r="AR285" s="190"/>
      <c r="AS285" s="190"/>
      <c r="AT285" s="190"/>
    </row>
    <row r="286" spans="2:48" x14ac:dyDescent="0.25">
      <c r="B286" s="372" t="s">
        <v>21</v>
      </c>
      <c r="C286" s="372"/>
      <c r="D286" s="372"/>
      <c r="E286" s="372"/>
      <c r="F286" s="372" t="s">
        <v>22</v>
      </c>
      <c r="G286" s="372"/>
      <c r="H286" s="372" t="s">
        <v>141</v>
      </c>
      <c r="I286" s="372"/>
      <c r="J286" s="372"/>
      <c r="K286" s="372" t="s">
        <v>598</v>
      </c>
      <c r="L286" s="372"/>
      <c r="M286" s="372"/>
      <c r="N286" s="372"/>
      <c r="O286" s="372"/>
      <c r="P286" s="372"/>
      <c r="Q286" s="372"/>
      <c r="R286" s="372"/>
      <c r="S286" s="372"/>
      <c r="T286" s="372"/>
      <c r="U286" s="372"/>
      <c r="V286" s="372"/>
      <c r="W286" s="372"/>
      <c r="X286" s="372"/>
      <c r="Y286" s="372"/>
      <c r="Z286" s="372"/>
      <c r="AA286" s="372"/>
      <c r="AB286" s="372"/>
      <c r="AC286" s="372"/>
      <c r="AD286" s="372"/>
      <c r="AE286" s="372"/>
      <c r="AF286" s="372"/>
      <c r="AG286" s="372"/>
      <c r="AH286" s="372"/>
      <c r="AI286" s="372"/>
      <c r="AJ286" s="372"/>
      <c r="AK286" s="372"/>
      <c r="AL286" s="372"/>
      <c r="AM286" s="372"/>
      <c r="AN286" s="372"/>
      <c r="AO286" s="372"/>
      <c r="AP286" s="372"/>
      <c r="AQ286" s="372"/>
      <c r="AR286" s="372"/>
      <c r="AS286" s="372"/>
      <c r="AT286" s="372"/>
    </row>
    <row r="287" spans="2:48" x14ac:dyDescent="0.25">
      <c r="B287" s="372"/>
      <c r="C287" s="372"/>
      <c r="D287" s="372"/>
      <c r="E287" s="372"/>
      <c r="F287" s="372"/>
      <c r="G287" s="372"/>
      <c r="H287" s="372"/>
      <c r="I287" s="372"/>
      <c r="J287" s="372"/>
      <c r="K287" s="372" t="s">
        <v>599</v>
      </c>
      <c r="L287" s="372"/>
      <c r="M287" s="372"/>
      <c r="N287" s="372"/>
      <c r="O287" s="372"/>
      <c r="P287" s="372"/>
      <c r="Q287" s="372"/>
      <c r="R287" s="372"/>
      <c r="S287" s="372"/>
      <c r="T287" s="372"/>
      <c r="U287" s="372"/>
      <c r="V287" s="372"/>
      <c r="W287" s="483" t="s">
        <v>532</v>
      </c>
      <c r="X287" s="483"/>
      <c r="Y287" s="483"/>
      <c r="Z287" s="483"/>
      <c r="AA287" s="483"/>
      <c r="AB287" s="483"/>
      <c r="AC287" s="483"/>
      <c r="AD287" s="483"/>
      <c r="AE287" s="483"/>
      <c r="AF287" s="483"/>
      <c r="AG287" s="483"/>
      <c r="AH287" s="483"/>
      <c r="AI287" s="483"/>
      <c r="AJ287" s="483"/>
      <c r="AK287" s="483"/>
      <c r="AL287" s="483"/>
      <c r="AM287" s="483"/>
      <c r="AN287" s="483"/>
      <c r="AO287" s="483"/>
      <c r="AP287" s="483"/>
      <c r="AQ287" s="483"/>
      <c r="AR287" s="483"/>
      <c r="AS287" s="483"/>
      <c r="AT287" s="483"/>
    </row>
    <row r="288" spans="2:48" x14ac:dyDescent="0.25">
      <c r="B288" s="372"/>
      <c r="C288" s="372"/>
      <c r="D288" s="372"/>
      <c r="E288" s="372"/>
      <c r="F288" s="372"/>
      <c r="G288" s="372"/>
      <c r="H288" s="372"/>
      <c r="I288" s="372"/>
      <c r="J288" s="372"/>
      <c r="K288" s="372"/>
      <c r="L288" s="372"/>
      <c r="M288" s="372"/>
      <c r="N288" s="372"/>
      <c r="O288" s="372"/>
      <c r="P288" s="372"/>
      <c r="Q288" s="372"/>
      <c r="R288" s="372"/>
      <c r="S288" s="372"/>
      <c r="T288" s="372"/>
      <c r="U288" s="372"/>
      <c r="V288" s="372"/>
      <c r="W288" s="372" t="s">
        <v>600</v>
      </c>
      <c r="X288" s="372"/>
      <c r="Y288" s="372"/>
      <c r="Z288" s="372"/>
      <c r="AA288" s="372"/>
      <c r="AB288" s="372"/>
      <c r="AC288" s="372"/>
      <c r="AD288" s="372"/>
      <c r="AE288" s="372"/>
      <c r="AF288" s="372"/>
      <c r="AG288" s="372"/>
      <c r="AH288" s="372"/>
      <c r="AI288" s="372" t="s">
        <v>601</v>
      </c>
      <c r="AJ288" s="372"/>
      <c r="AK288" s="372"/>
      <c r="AL288" s="372"/>
      <c r="AM288" s="372"/>
      <c r="AN288" s="372"/>
      <c r="AO288" s="372"/>
      <c r="AP288" s="372"/>
      <c r="AQ288" s="372"/>
      <c r="AR288" s="372"/>
      <c r="AS288" s="372"/>
      <c r="AT288" s="372"/>
    </row>
    <row r="289" spans="2:46" x14ac:dyDescent="0.25">
      <c r="B289" s="372"/>
      <c r="C289" s="372"/>
      <c r="D289" s="372"/>
      <c r="E289" s="372"/>
      <c r="F289" s="372"/>
      <c r="G289" s="372"/>
      <c r="H289" s="372"/>
      <c r="I289" s="372"/>
      <c r="J289" s="372"/>
      <c r="K289" s="372" t="s">
        <v>602</v>
      </c>
      <c r="L289" s="372"/>
      <c r="M289" s="372"/>
      <c r="N289" s="372"/>
      <c r="O289" s="372" t="s">
        <v>603</v>
      </c>
      <c r="P289" s="372"/>
      <c r="Q289" s="372"/>
      <c r="R289" s="372"/>
      <c r="S289" s="372" t="s">
        <v>604</v>
      </c>
      <c r="T289" s="372"/>
      <c r="U289" s="372"/>
      <c r="V289" s="372"/>
      <c r="W289" s="372" t="s">
        <v>602</v>
      </c>
      <c r="X289" s="372"/>
      <c r="Y289" s="372"/>
      <c r="Z289" s="372"/>
      <c r="AA289" s="372" t="s">
        <v>603</v>
      </c>
      <c r="AB289" s="372"/>
      <c r="AC289" s="372"/>
      <c r="AD289" s="372"/>
      <c r="AE289" s="372" t="s">
        <v>604</v>
      </c>
      <c r="AF289" s="372"/>
      <c r="AG289" s="372"/>
      <c r="AH289" s="372"/>
      <c r="AI289" s="372" t="s">
        <v>602</v>
      </c>
      <c r="AJ289" s="372"/>
      <c r="AK289" s="372"/>
      <c r="AL289" s="372"/>
      <c r="AM289" s="372" t="s">
        <v>603</v>
      </c>
      <c r="AN289" s="372"/>
      <c r="AO289" s="372"/>
      <c r="AP289" s="372"/>
      <c r="AQ289" s="372" t="s">
        <v>604</v>
      </c>
      <c r="AR289" s="372"/>
      <c r="AS289" s="372"/>
      <c r="AT289" s="372"/>
    </row>
    <row r="290" spans="2:46" x14ac:dyDescent="0.25">
      <c r="B290" s="484">
        <v>1</v>
      </c>
      <c r="C290" s="484"/>
      <c r="D290" s="484"/>
      <c r="E290" s="484"/>
      <c r="F290" s="482">
        <v>2</v>
      </c>
      <c r="G290" s="482"/>
      <c r="H290" s="482">
        <v>3</v>
      </c>
      <c r="I290" s="482"/>
      <c r="J290" s="482"/>
      <c r="K290" s="482">
        <v>4</v>
      </c>
      <c r="L290" s="482"/>
      <c r="M290" s="482"/>
      <c r="N290" s="482"/>
      <c r="O290" s="482">
        <v>5</v>
      </c>
      <c r="P290" s="482"/>
      <c r="Q290" s="482"/>
      <c r="R290" s="482"/>
      <c r="S290" s="482">
        <v>6</v>
      </c>
      <c r="T290" s="482"/>
      <c r="U290" s="482"/>
      <c r="V290" s="482"/>
      <c r="W290" s="482">
        <v>7</v>
      </c>
      <c r="X290" s="482"/>
      <c r="Y290" s="482"/>
      <c r="Z290" s="482"/>
      <c r="AA290" s="482">
        <v>8</v>
      </c>
      <c r="AB290" s="482"/>
      <c r="AC290" s="482"/>
      <c r="AD290" s="482"/>
      <c r="AE290" s="482">
        <v>9</v>
      </c>
      <c r="AF290" s="482"/>
      <c r="AG290" s="482"/>
      <c r="AH290" s="482"/>
      <c r="AI290" s="482">
        <v>10</v>
      </c>
      <c r="AJ290" s="482"/>
      <c r="AK290" s="482"/>
      <c r="AL290" s="482"/>
      <c r="AM290" s="484">
        <v>11</v>
      </c>
      <c r="AN290" s="484"/>
      <c r="AO290" s="484"/>
      <c r="AP290" s="484"/>
      <c r="AQ290" s="484">
        <v>12</v>
      </c>
      <c r="AR290" s="484"/>
      <c r="AS290" s="484"/>
      <c r="AT290" s="484"/>
    </row>
    <row r="291" spans="2:46" ht="15.75" thickBot="1" x14ac:dyDescent="0.3">
      <c r="B291" s="485" t="s">
        <v>605</v>
      </c>
      <c r="C291" s="485"/>
      <c r="D291" s="485"/>
      <c r="E291" s="485"/>
      <c r="F291" s="489" t="s">
        <v>31</v>
      </c>
      <c r="G291" s="489"/>
      <c r="H291" s="490" t="s">
        <v>32</v>
      </c>
      <c r="I291" s="490"/>
      <c r="J291" s="490"/>
      <c r="K291" s="367" t="e">
        <f>K292+K294</f>
        <v>#REF!</v>
      </c>
      <c r="L291" s="367"/>
      <c r="M291" s="367"/>
      <c r="N291" s="367"/>
      <c r="O291" s="367" t="e">
        <f>O292+O294</f>
        <v>#REF!</v>
      </c>
      <c r="P291" s="367"/>
      <c r="Q291" s="367"/>
      <c r="R291" s="367"/>
      <c r="S291" s="367" t="e">
        <f>S292+S294</f>
        <v>#REF!</v>
      </c>
      <c r="T291" s="367"/>
      <c r="U291" s="367"/>
      <c r="V291" s="367"/>
      <c r="W291" s="403">
        <f>W292+W294</f>
        <v>0</v>
      </c>
      <c r="X291" s="403"/>
      <c r="Y291" s="403"/>
      <c r="Z291" s="403"/>
      <c r="AA291" s="403">
        <f>AA292+AA294</f>
        <v>0</v>
      </c>
      <c r="AB291" s="403"/>
      <c r="AC291" s="403"/>
      <c r="AD291" s="403"/>
      <c r="AE291" s="403">
        <f t="shared" ref="AE291" si="75">AE292+AE294</f>
        <v>0</v>
      </c>
      <c r="AF291" s="403"/>
      <c r="AG291" s="403"/>
      <c r="AH291" s="403"/>
      <c r="AI291" s="403" t="e">
        <f t="shared" ref="AI291" si="76">AI292+AI294</f>
        <v>#REF!</v>
      </c>
      <c r="AJ291" s="403"/>
      <c r="AK291" s="403"/>
      <c r="AL291" s="403"/>
      <c r="AM291" s="403" t="e">
        <f t="shared" ref="AM291" si="77">AM292+AM294</f>
        <v>#REF!</v>
      </c>
      <c r="AN291" s="403"/>
      <c r="AO291" s="403"/>
      <c r="AP291" s="403"/>
      <c r="AQ291" s="403" t="e">
        <f t="shared" ref="AQ291" si="78">AQ292+AQ294</f>
        <v>#REF!</v>
      </c>
      <c r="AR291" s="403"/>
      <c r="AS291" s="403"/>
      <c r="AT291" s="403"/>
    </row>
    <row r="292" spans="2:46" x14ac:dyDescent="0.25">
      <c r="B292" s="486" t="s">
        <v>606</v>
      </c>
      <c r="C292" s="487"/>
      <c r="D292" s="487"/>
      <c r="E292" s="488"/>
      <c r="F292" s="411">
        <v>1001</v>
      </c>
      <c r="G292" s="412"/>
      <c r="H292" s="449" t="s">
        <v>32</v>
      </c>
      <c r="I292" s="450"/>
      <c r="J292" s="451"/>
      <c r="K292" s="416">
        <f>W292+AI292</f>
        <v>654837.9800000001</v>
      </c>
      <c r="L292" s="417"/>
      <c r="M292" s="417"/>
      <c r="N292" s="418"/>
      <c r="O292" s="416">
        <f t="shared" ref="O292" si="79">AA292+AM292</f>
        <v>0</v>
      </c>
      <c r="P292" s="417"/>
      <c r="Q292" s="417"/>
      <c r="R292" s="418"/>
      <c r="S292" s="416">
        <f t="shared" ref="S292" si="80">AE292+AQ292</f>
        <v>0</v>
      </c>
      <c r="T292" s="417"/>
      <c r="U292" s="417"/>
      <c r="V292" s="417"/>
      <c r="W292" s="425">
        <f>F179</f>
        <v>0</v>
      </c>
      <c r="X292" s="426"/>
      <c r="Y292" s="426"/>
      <c r="Z292" s="427"/>
      <c r="AA292" s="425">
        <f>G179</f>
        <v>0</v>
      </c>
      <c r="AB292" s="426"/>
      <c r="AC292" s="426"/>
      <c r="AD292" s="427"/>
      <c r="AE292" s="425">
        <f>H179</f>
        <v>0</v>
      </c>
      <c r="AF292" s="426"/>
      <c r="AG292" s="426"/>
      <c r="AH292" s="426"/>
      <c r="AI292" s="425">
        <f>F180</f>
        <v>654837.9800000001</v>
      </c>
      <c r="AJ292" s="426"/>
      <c r="AK292" s="426"/>
      <c r="AL292" s="427"/>
      <c r="AM292" s="425">
        <f>G180</f>
        <v>0</v>
      </c>
      <c r="AN292" s="426"/>
      <c r="AO292" s="426"/>
      <c r="AP292" s="427"/>
      <c r="AQ292" s="419">
        <f>H180</f>
        <v>0</v>
      </c>
      <c r="AR292" s="420"/>
      <c r="AS292" s="420"/>
      <c r="AT292" s="421"/>
    </row>
    <row r="293" spans="2:46" ht="15.75" thickBot="1" x14ac:dyDescent="0.3">
      <c r="B293" s="491" t="s">
        <v>607</v>
      </c>
      <c r="C293" s="491"/>
      <c r="D293" s="491"/>
      <c r="E293" s="491"/>
      <c r="F293" s="414"/>
      <c r="G293" s="415"/>
      <c r="H293" s="452"/>
      <c r="I293" s="453"/>
      <c r="J293" s="454"/>
      <c r="K293" s="404"/>
      <c r="L293" s="405"/>
      <c r="M293" s="405"/>
      <c r="N293" s="406"/>
      <c r="O293" s="404"/>
      <c r="P293" s="405"/>
      <c r="Q293" s="405"/>
      <c r="R293" s="406"/>
      <c r="S293" s="404"/>
      <c r="T293" s="405"/>
      <c r="U293" s="405"/>
      <c r="V293" s="405"/>
      <c r="W293" s="428"/>
      <c r="X293" s="429"/>
      <c r="Y293" s="429"/>
      <c r="Z293" s="430"/>
      <c r="AA293" s="428"/>
      <c r="AB293" s="429"/>
      <c r="AC293" s="429"/>
      <c r="AD293" s="430"/>
      <c r="AE293" s="428"/>
      <c r="AF293" s="429"/>
      <c r="AG293" s="429"/>
      <c r="AH293" s="429"/>
      <c r="AI293" s="428"/>
      <c r="AJ293" s="429"/>
      <c r="AK293" s="429"/>
      <c r="AL293" s="430"/>
      <c r="AM293" s="428"/>
      <c r="AN293" s="429"/>
      <c r="AO293" s="429"/>
      <c r="AP293" s="430"/>
      <c r="AQ293" s="422"/>
      <c r="AR293" s="423"/>
      <c r="AS293" s="423"/>
      <c r="AT293" s="424"/>
    </row>
    <row r="294" spans="2:46" ht="15.75" thickBot="1" x14ac:dyDescent="0.3">
      <c r="B294" s="495" t="s">
        <v>608</v>
      </c>
      <c r="C294" s="495"/>
      <c r="D294" s="495"/>
      <c r="E294" s="495"/>
      <c r="F294" s="365">
        <v>2001</v>
      </c>
      <c r="G294" s="365"/>
      <c r="H294" s="496"/>
      <c r="I294" s="496"/>
      <c r="J294" s="496"/>
      <c r="K294" s="367" t="e">
        <f t="shared" ref="K294:K297" si="81">W294+AI294</f>
        <v>#REF!</v>
      </c>
      <c r="L294" s="367"/>
      <c r="M294" s="367"/>
      <c r="N294" s="367"/>
      <c r="O294" s="367" t="e">
        <f t="shared" ref="O294:O297" si="82">AA294+AM294</f>
        <v>#REF!</v>
      </c>
      <c r="P294" s="367"/>
      <c r="Q294" s="367"/>
      <c r="R294" s="367"/>
      <c r="S294" s="367" t="e">
        <f t="shared" ref="S294:S297" si="83">AE294+AQ294</f>
        <v>#REF!</v>
      </c>
      <c r="T294" s="367"/>
      <c r="U294" s="367"/>
      <c r="V294" s="367"/>
      <c r="W294" s="383">
        <f>W295+W296+W297</f>
        <v>0</v>
      </c>
      <c r="X294" s="383"/>
      <c r="Y294" s="383"/>
      <c r="Z294" s="383"/>
      <c r="AA294" s="383">
        <f>AA295+AA296+AA297</f>
        <v>0</v>
      </c>
      <c r="AB294" s="383"/>
      <c r="AC294" s="383"/>
      <c r="AD294" s="383"/>
      <c r="AE294" s="383">
        <f>AE295+AE296+AE297</f>
        <v>0</v>
      </c>
      <c r="AF294" s="383"/>
      <c r="AG294" s="383"/>
      <c r="AH294" s="383"/>
      <c r="AI294" s="383" t="e">
        <f t="shared" ref="AI294" si="84">AI295+AI296+AI297</f>
        <v>#REF!</v>
      </c>
      <c r="AJ294" s="383"/>
      <c r="AK294" s="383"/>
      <c r="AL294" s="383"/>
      <c r="AM294" s="383" t="e">
        <f t="shared" ref="AM294" si="85">AM295+AM296+AM297</f>
        <v>#REF!</v>
      </c>
      <c r="AN294" s="383"/>
      <c r="AO294" s="383"/>
      <c r="AP294" s="383"/>
      <c r="AQ294" s="497" t="e">
        <f t="shared" ref="AQ294" si="86">AQ295+AQ296+AQ297</f>
        <v>#REF!</v>
      </c>
      <c r="AR294" s="497"/>
      <c r="AS294" s="497"/>
      <c r="AT294" s="497"/>
    </row>
    <row r="295" spans="2:46" ht="15.75" thickBot="1" x14ac:dyDescent="0.3">
      <c r="B295" s="495" t="s">
        <v>609</v>
      </c>
      <c r="C295" s="495"/>
      <c r="D295" s="495"/>
      <c r="E295" s="495"/>
      <c r="F295" s="496">
        <v>2002</v>
      </c>
      <c r="G295" s="496"/>
      <c r="H295" s="496">
        <v>2020</v>
      </c>
      <c r="I295" s="496"/>
      <c r="J295" s="496"/>
      <c r="K295" s="367" t="e">
        <f t="shared" si="81"/>
        <v>#REF!</v>
      </c>
      <c r="L295" s="367"/>
      <c r="M295" s="367"/>
      <c r="N295" s="367"/>
      <c r="O295" s="367">
        <f t="shared" si="82"/>
        <v>11281.36</v>
      </c>
      <c r="P295" s="367"/>
      <c r="Q295" s="367"/>
      <c r="R295" s="367"/>
      <c r="S295" s="367">
        <f t="shared" si="83"/>
        <v>0</v>
      </c>
      <c r="T295" s="367"/>
      <c r="U295" s="367"/>
      <c r="V295" s="384"/>
      <c r="W295" s="492">
        <f>F193</f>
        <v>0</v>
      </c>
      <c r="X295" s="493"/>
      <c r="Y295" s="493"/>
      <c r="Z295" s="494"/>
      <c r="AA295" s="385">
        <f>G193</f>
        <v>0</v>
      </c>
      <c r="AB295" s="386"/>
      <c r="AC295" s="386"/>
      <c r="AD295" s="387"/>
      <c r="AE295" s="385">
        <f>H193</f>
        <v>0</v>
      </c>
      <c r="AF295" s="386"/>
      <c r="AG295" s="386"/>
      <c r="AH295" s="498"/>
      <c r="AI295" s="385" t="e">
        <f>F197</f>
        <v>#REF!</v>
      </c>
      <c r="AJ295" s="386"/>
      <c r="AK295" s="386"/>
      <c r="AL295" s="387"/>
      <c r="AM295" s="385">
        <f>G197</f>
        <v>11281.36</v>
      </c>
      <c r="AN295" s="386"/>
      <c r="AO295" s="386"/>
      <c r="AP295" s="387"/>
      <c r="AQ295" s="492">
        <f>H197</f>
        <v>0</v>
      </c>
      <c r="AR295" s="493"/>
      <c r="AS295" s="493"/>
      <c r="AT295" s="494"/>
    </row>
    <row r="296" spans="2:46" ht="15.75" thickBot="1" x14ac:dyDescent="0.3">
      <c r="B296" s="495" t="s">
        <v>609</v>
      </c>
      <c r="C296" s="495"/>
      <c r="D296" s="495"/>
      <c r="E296" s="495"/>
      <c r="F296" s="496">
        <v>2003</v>
      </c>
      <c r="G296" s="496"/>
      <c r="H296" s="496">
        <v>2021</v>
      </c>
      <c r="I296" s="496"/>
      <c r="J296" s="496"/>
      <c r="K296" s="367">
        <f t="shared" si="81"/>
        <v>0</v>
      </c>
      <c r="L296" s="367"/>
      <c r="M296" s="367"/>
      <c r="N296" s="367"/>
      <c r="O296" s="367" t="e">
        <f t="shared" si="82"/>
        <v>#REF!</v>
      </c>
      <c r="P296" s="367"/>
      <c r="Q296" s="367"/>
      <c r="R296" s="367"/>
      <c r="S296" s="367">
        <f t="shared" si="83"/>
        <v>11281.36</v>
      </c>
      <c r="T296" s="367"/>
      <c r="U296" s="367"/>
      <c r="V296" s="384"/>
      <c r="W296" s="492">
        <f>F194</f>
        <v>0</v>
      </c>
      <c r="X296" s="493"/>
      <c r="Y296" s="493"/>
      <c r="Z296" s="494"/>
      <c r="AA296" s="385">
        <f>G194</f>
        <v>0</v>
      </c>
      <c r="AB296" s="386"/>
      <c r="AC296" s="386"/>
      <c r="AD296" s="387"/>
      <c r="AE296" s="385">
        <f>H194</f>
        <v>0</v>
      </c>
      <c r="AF296" s="386"/>
      <c r="AG296" s="386"/>
      <c r="AH296" s="498"/>
      <c r="AI296" s="385">
        <f>F198</f>
        <v>0</v>
      </c>
      <c r="AJ296" s="386"/>
      <c r="AK296" s="386"/>
      <c r="AL296" s="387"/>
      <c r="AM296" s="385" t="e">
        <f>G198</f>
        <v>#REF!</v>
      </c>
      <c r="AN296" s="386"/>
      <c r="AO296" s="386"/>
      <c r="AP296" s="387"/>
      <c r="AQ296" s="492">
        <f>H198</f>
        <v>11281.36</v>
      </c>
      <c r="AR296" s="493"/>
      <c r="AS296" s="493"/>
      <c r="AT296" s="494"/>
    </row>
    <row r="297" spans="2:46" ht="15.75" thickBot="1" x14ac:dyDescent="0.3">
      <c r="B297" s="495" t="s">
        <v>609</v>
      </c>
      <c r="C297" s="495"/>
      <c r="D297" s="495"/>
      <c r="E297" s="495"/>
      <c r="F297" s="496">
        <v>2004</v>
      </c>
      <c r="G297" s="496"/>
      <c r="H297" s="496">
        <v>2022</v>
      </c>
      <c r="I297" s="496"/>
      <c r="J297" s="496"/>
      <c r="K297" s="367">
        <f t="shared" si="81"/>
        <v>0</v>
      </c>
      <c r="L297" s="367"/>
      <c r="M297" s="367"/>
      <c r="N297" s="367"/>
      <c r="O297" s="367">
        <f t="shared" si="82"/>
        <v>0</v>
      </c>
      <c r="P297" s="367"/>
      <c r="Q297" s="367"/>
      <c r="R297" s="367"/>
      <c r="S297" s="367" t="e">
        <f t="shared" si="83"/>
        <v>#REF!</v>
      </c>
      <c r="T297" s="367"/>
      <c r="U297" s="367"/>
      <c r="V297" s="384"/>
      <c r="W297" s="492">
        <f>F195</f>
        <v>0</v>
      </c>
      <c r="X297" s="493"/>
      <c r="Y297" s="493"/>
      <c r="Z297" s="494"/>
      <c r="AA297" s="385">
        <f>G195</f>
        <v>0</v>
      </c>
      <c r="AB297" s="386"/>
      <c r="AC297" s="386"/>
      <c r="AD297" s="387"/>
      <c r="AE297" s="385">
        <f>H195</f>
        <v>0</v>
      </c>
      <c r="AF297" s="386"/>
      <c r="AG297" s="386"/>
      <c r="AH297" s="498"/>
      <c r="AI297" s="385">
        <f>F199</f>
        <v>0</v>
      </c>
      <c r="AJ297" s="386"/>
      <c r="AK297" s="386"/>
      <c r="AL297" s="387"/>
      <c r="AM297" s="385">
        <f>G199</f>
        <v>0</v>
      </c>
      <c r="AN297" s="386"/>
      <c r="AO297" s="386"/>
      <c r="AP297" s="387"/>
      <c r="AQ297" s="492" t="e">
        <f>H199</f>
        <v>#REF!</v>
      </c>
      <c r="AR297" s="493"/>
      <c r="AS297" s="493"/>
      <c r="AT297" s="494"/>
    </row>
  </sheetData>
  <mergeCells count="647">
    <mergeCell ref="AE277:AH277"/>
    <mergeCell ref="AI277:AL277"/>
    <mergeCell ref="AM277:AP277"/>
    <mergeCell ref="AQ277:AT277"/>
    <mergeCell ref="AI297:AL297"/>
    <mergeCell ref="AM297:AP297"/>
    <mergeCell ref="AQ297:AT297"/>
    <mergeCell ref="B297:E297"/>
    <mergeCell ref="F297:G297"/>
    <mergeCell ref="H297:J297"/>
    <mergeCell ref="K297:N297"/>
    <mergeCell ref="O297:R297"/>
    <mergeCell ref="S297:V297"/>
    <mergeCell ref="W297:Z297"/>
    <mergeCell ref="AA297:AD297"/>
    <mergeCell ref="AE297:AH297"/>
    <mergeCell ref="W296:Z296"/>
    <mergeCell ref="AA296:AD296"/>
    <mergeCell ref="AE296:AH296"/>
    <mergeCell ref="AI296:AL296"/>
    <mergeCell ref="AM296:AP296"/>
    <mergeCell ref="AQ296:AT296"/>
    <mergeCell ref="B296:E296"/>
    <mergeCell ref="F296:G296"/>
    <mergeCell ref="AI274:AL274"/>
    <mergeCell ref="AM274:AP274"/>
    <mergeCell ref="AQ274:AT274"/>
    <mergeCell ref="AQ273:AT273"/>
    <mergeCell ref="AM275:AP276"/>
    <mergeCell ref="AQ275:AT276"/>
    <mergeCell ref="B280:J280"/>
    <mergeCell ref="K280:M280"/>
    <mergeCell ref="N280:P280"/>
    <mergeCell ref="Q280:U280"/>
    <mergeCell ref="V280:Z280"/>
    <mergeCell ref="AA280:AD280"/>
    <mergeCell ref="AE280:AH280"/>
    <mergeCell ref="AI280:AL280"/>
    <mergeCell ref="AM280:AP280"/>
    <mergeCell ref="AQ280:AT280"/>
    <mergeCell ref="AQ279:AT279"/>
    <mergeCell ref="B277:J277"/>
    <mergeCell ref="K277:M277"/>
    <mergeCell ref="N277:P277"/>
    <mergeCell ref="Q277:U277"/>
    <mergeCell ref="V277:Z277"/>
    <mergeCell ref="AA277:AD277"/>
    <mergeCell ref="B276:J276"/>
    <mergeCell ref="V269:Z270"/>
    <mergeCell ref="AA269:AD270"/>
    <mergeCell ref="AE269:AH270"/>
    <mergeCell ref="AI269:AL270"/>
    <mergeCell ref="AM269:AP270"/>
    <mergeCell ref="AQ269:AT270"/>
    <mergeCell ref="V271:Z272"/>
    <mergeCell ref="AA271:AD272"/>
    <mergeCell ref="AE271:AH272"/>
    <mergeCell ref="AI271:AL272"/>
    <mergeCell ref="AM271:AP272"/>
    <mergeCell ref="AQ271:AT272"/>
    <mergeCell ref="AA266:AD267"/>
    <mergeCell ref="AE266:AH267"/>
    <mergeCell ref="AI266:AL267"/>
    <mergeCell ref="AM266:AP267"/>
    <mergeCell ref="AQ266:AT267"/>
    <mergeCell ref="V268:Z268"/>
    <mergeCell ref="AA268:AD268"/>
    <mergeCell ref="AE268:AH268"/>
    <mergeCell ref="AI268:AL268"/>
    <mergeCell ref="AM268:AP268"/>
    <mergeCell ref="AQ268:AT268"/>
    <mergeCell ref="V260:Z260"/>
    <mergeCell ref="AA260:AD260"/>
    <mergeCell ref="AE260:AH260"/>
    <mergeCell ref="AI260:AL260"/>
    <mergeCell ref="AM260:AP260"/>
    <mergeCell ref="AQ260:AT260"/>
    <mergeCell ref="K261:M262"/>
    <mergeCell ref="N261:P262"/>
    <mergeCell ref="Q261:U262"/>
    <mergeCell ref="V261:Z262"/>
    <mergeCell ref="AA261:AD262"/>
    <mergeCell ref="AE261:AH262"/>
    <mergeCell ref="AI261:AL262"/>
    <mergeCell ref="AM261:AP262"/>
    <mergeCell ref="AQ261:AT262"/>
    <mergeCell ref="V254:Z254"/>
    <mergeCell ref="AA254:AD254"/>
    <mergeCell ref="AE254:AH254"/>
    <mergeCell ref="AI254:AL254"/>
    <mergeCell ref="AM254:AP254"/>
    <mergeCell ref="AQ254:AT254"/>
    <mergeCell ref="K255:M256"/>
    <mergeCell ref="N255:P256"/>
    <mergeCell ref="Q255:U256"/>
    <mergeCell ref="V255:Z256"/>
    <mergeCell ref="AA255:AD256"/>
    <mergeCell ref="AE255:AH256"/>
    <mergeCell ref="AI255:AL256"/>
    <mergeCell ref="AM255:AP256"/>
    <mergeCell ref="AQ255:AT256"/>
    <mergeCell ref="V241:Z242"/>
    <mergeCell ref="AA241:AD242"/>
    <mergeCell ref="AE241:AH242"/>
    <mergeCell ref="AI241:AL242"/>
    <mergeCell ref="AM241:AP242"/>
    <mergeCell ref="AQ241:AT242"/>
    <mergeCell ref="K243:M244"/>
    <mergeCell ref="N243:P244"/>
    <mergeCell ref="Q243:U244"/>
    <mergeCell ref="V243:Z244"/>
    <mergeCell ref="AA243:AD244"/>
    <mergeCell ref="AE243:AH244"/>
    <mergeCell ref="AI243:AL244"/>
    <mergeCell ref="AM243:AP244"/>
    <mergeCell ref="AQ243:AT244"/>
    <mergeCell ref="AE238:AH238"/>
    <mergeCell ref="AI238:AL238"/>
    <mergeCell ref="AM238:AP238"/>
    <mergeCell ref="AQ238:AT238"/>
    <mergeCell ref="K239:M240"/>
    <mergeCell ref="N239:P240"/>
    <mergeCell ref="Q239:U240"/>
    <mergeCell ref="V239:Z240"/>
    <mergeCell ref="AA239:AD240"/>
    <mergeCell ref="AE239:AH240"/>
    <mergeCell ref="AI239:AL240"/>
    <mergeCell ref="AM239:AP240"/>
    <mergeCell ref="AQ239:AT240"/>
    <mergeCell ref="AM234:AP234"/>
    <mergeCell ref="AQ234:AT234"/>
    <mergeCell ref="K235:M236"/>
    <mergeCell ref="N235:P236"/>
    <mergeCell ref="Q235:U236"/>
    <mergeCell ref="V235:Z236"/>
    <mergeCell ref="AA235:AD236"/>
    <mergeCell ref="AE235:AH236"/>
    <mergeCell ref="AI235:AL236"/>
    <mergeCell ref="AM235:AP236"/>
    <mergeCell ref="AQ235:AT236"/>
    <mergeCell ref="K227:M228"/>
    <mergeCell ref="N227:P228"/>
    <mergeCell ref="Q227:U228"/>
    <mergeCell ref="V227:Z228"/>
    <mergeCell ref="AA227:AD228"/>
    <mergeCell ref="AE227:AH228"/>
    <mergeCell ref="AI227:AL228"/>
    <mergeCell ref="AM227:AP228"/>
    <mergeCell ref="AQ227:AT228"/>
    <mergeCell ref="V224:Z224"/>
    <mergeCell ref="AA224:AD224"/>
    <mergeCell ref="AE224:AH224"/>
    <mergeCell ref="AI224:AL224"/>
    <mergeCell ref="AM224:AP224"/>
    <mergeCell ref="AQ224:AT224"/>
    <mergeCell ref="V226:Z226"/>
    <mergeCell ref="AA226:AD226"/>
    <mergeCell ref="AE226:AH226"/>
    <mergeCell ref="AI226:AL226"/>
    <mergeCell ref="AM226:AP226"/>
    <mergeCell ref="AQ226:AT226"/>
    <mergeCell ref="H296:J296"/>
    <mergeCell ref="K296:N296"/>
    <mergeCell ref="O296:R296"/>
    <mergeCell ref="S296:V296"/>
    <mergeCell ref="W295:Z295"/>
    <mergeCell ref="AA295:AD295"/>
    <mergeCell ref="AE295:AH295"/>
    <mergeCell ref="AI295:AL295"/>
    <mergeCell ref="AM295:AP295"/>
    <mergeCell ref="AQ295:AT295"/>
    <mergeCell ref="B295:E295"/>
    <mergeCell ref="F295:G295"/>
    <mergeCell ref="H295:J295"/>
    <mergeCell ref="K295:N295"/>
    <mergeCell ref="O295:R295"/>
    <mergeCell ref="S295:V295"/>
    <mergeCell ref="W294:Z294"/>
    <mergeCell ref="AA294:AD294"/>
    <mergeCell ref="AE294:AH294"/>
    <mergeCell ref="AI294:AL294"/>
    <mergeCell ref="AM294:AP294"/>
    <mergeCell ref="AQ294:AT294"/>
    <mergeCell ref="B294:E294"/>
    <mergeCell ref="F294:G294"/>
    <mergeCell ref="H294:J294"/>
    <mergeCell ref="K294:N294"/>
    <mergeCell ref="O294:R294"/>
    <mergeCell ref="S294:V294"/>
    <mergeCell ref="AI292:AL293"/>
    <mergeCell ref="AM292:AP293"/>
    <mergeCell ref="AQ292:AT293"/>
    <mergeCell ref="B291:E291"/>
    <mergeCell ref="B292:E292"/>
    <mergeCell ref="F291:G291"/>
    <mergeCell ref="H291:J291"/>
    <mergeCell ref="K291:N291"/>
    <mergeCell ref="O291:R291"/>
    <mergeCell ref="S291:V291"/>
    <mergeCell ref="W291:Z291"/>
    <mergeCell ref="AA291:AD291"/>
    <mergeCell ref="B293:E293"/>
    <mergeCell ref="F292:G293"/>
    <mergeCell ref="H292:J293"/>
    <mergeCell ref="K292:N293"/>
    <mergeCell ref="O292:R293"/>
    <mergeCell ref="S292:V293"/>
    <mergeCell ref="W292:Z293"/>
    <mergeCell ref="AA292:AD293"/>
    <mergeCell ref="AE292:AH293"/>
    <mergeCell ref="AI290:AL290"/>
    <mergeCell ref="AM290:AP290"/>
    <mergeCell ref="AQ290:AT290"/>
    <mergeCell ref="AE289:AH289"/>
    <mergeCell ref="AI289:AL289"/>
    <mergeCell ref="AM289:AP289"/>
    <mergeCell ref="AQ289:AT289"/>
    <mergeCell ref="AE291:AH291"/>
    <mergeCell ref="AI291:AL291"/>
    <mergeCell ref="AM291:AP291"/>
    <mergeCell ref="AQ291:AT291"/>
    <mergeCell ref="W289:Z289"/>
    <mergeCell ref="AA289:AD289"/>
    <mergeCell ref="W290:Z290"/>
    <mergeCell ref="AA290:AD290"/>
    <mergeCell ref="B283:AT283"/>
    <mergeCell ref="B284:AT284"/>
    <mergeCell ref="B286:E289"/>
    <mergeCell ref="F286:G289"/>
    <mergeCell ref="H286:J289"/>
    <mergeCell ref="K286:AT286"/>
    <mergeCell ref="K287:V288"/>
    <mergeCell ref="W287:AT287"/>
    <mergeCell ref="W288:AH288"/>
    <mergeCell ref="AI288:AT288"/>
    <mergeCell ref="B290:E290"/>
    <mergeCell ref="F290:G290"/>
    <mergeCell ref="H290:J290"/>
    <mergeCell ref="K290:N290"/>
    <mergeCell ref="O290:R290"/>
    <mergeCell ref="S290:V290"/>
    <mergeCell ref="K289:N289"/>
    <mergeCell ref="O289:R289"/>
    <mergeCell ref="S289:V289"/>
    <mergeCell ref="AE290:AH290"/>
    <mergeCell ref="B282:AT282"/>
    <mergeCell ref="AE278:AH278"/>
    <mergeCell ref="AI278:AL278"/>
    <mergeCell ref="AM278:AP278"/>
    <mergeCell ref="AQ278:AT278"/>
    <mergeCell ref="B279:J279"/>
    <mergeCell ref="K279:M279"/>
    <mergeCell ref="N279:P279"/>
    <mergeCell ref="Q279:U279"/>
    <mergeCell ref="V279:Z279"/>
    <mergeCell ref="AA279:AD279"/>
    <mergeCell ref="B278:J278"/>
    <mergeCell ref="K278:M278"/>
    <mergeCell ref="N278:P278"/>
    <mergeCell ref="Q278:U278"/>
    <mergeCell ref="V278:Z278"/>
    <mergeCell ref="AA278:AD278"/>
    <mergeCell ref="AE279:AH279"/>
    <mergeCell ref="AI279:AL279"/>
    <mergeCell ref="AM279:AP279"/>
    <mergeCell ref="K275:M276"/>
    <mergeCell ref="N275:P276"/>
    <mergeCell ref="Q275:U276"/>
    <mergeCell ref="V275:Z276"/>
    <mergeCell ref="B275:J275"/>
    <mergeCell ref="AA273:AD273"/>
    <mergeCell ref="AE273:AH273"/>
    <mergeCell ref="AI273:AL273"/>
    <mergeCell ref="AM273:AP273"/>
    <mergeCell ref="B274:J274"/>
    <mergeCell ref="B273:J273"/>
    <mergeCell ref="K273:M273"/>
    <mergeCell ref="N273:P273"/>
    <mergeCell ref="Q273:U273"/>
    <mergeCell ref="V273:Z273"/>
    <mergeCell ref="AA275:AD276"/>
    <mergeCell ref="AE275:AH276"/>
    <mergeCell ref="AI275:AL276"/>
    <mergeCell ref="K274:M274"/>
    <mergeCell ref="N274:P274"/>
    <mergeCell ref="Q274:U274"/>
    <mergeCell ref="V274:Z274"/>
    <mergeCell ref="AA274:AD274"/>
    <mergeCell ref="AE274:AH274"/>
    <mergeCell ref="B271:J271"/>
    <mergeCell ref="B272:J272"/>
    <mergeCell ref="B270:J270"/>
    <mergeCell ref="K271:M272"/>
    <mergeCell ref="N271:P272"/>
    <mergeCell ref="Q271:U272"/>
    <mergeCell ref="B269:J269"/>
    <mergeCell ref="B268:J268"/>
    <mergeCell ref="B267:J267"/>
    <mergeCell ref="K268:M268"/>
    <mergeCell ref="N268:P268"/>
    <mergeCell ref="Q268:U268"/>
    <mergeCell ref="K266:M267"/>
    <mergeCell ref="N266:P267"/>
    <mergeCell ref="Q266:U267"/>
    <mergeCell ref="K269:M270"/>
    <mergeCell ref="N269:P270"/>
    <mergeCell ref="Q269:U270"/>
    <mergeCell ref="AE263:AH263"/>
    <mergeCell ref="AI263:AL263"/>
    <mergeCell ref="AQ264:AT264"/>
    <mergeCell ref="B265:J265"/>
    <mergeCell ref="B266:J266"/>
    <mergeCell ref="B264:J264"/>
    <mergeCell ref="K264:M264"/>
    <mergeCell ref="N264:P264"/>
    <mergeCell ref="Q264:U264"/>
    <mergeCell ref="V264:Z264"/>
    <mergeCell ref="AA264:AD264"/>
    <mergeCell ref="AE264:AH264"/>
    <mergeCell ref="AI264:AL264"/>
    <mergeCell ref="AM264:AP264"/>
    <mergeCell ref="K265:M265"/>
    <mergeCell ref="N265:P265"/>
    <mergeCell ref="Q265:U265"/>
    <mergeCell ref="V265:Z265"/>
    <mergeCell ref="AA265:AD265"/>
    <mergeCell ref="AE265:AH265"/>
    <mergeCell ref="AI265:AL265"/>
    <mergeCell ref="AM265:AP265"/>
    <mergeCell ref="AQ265:AT265"/>
    <mergeCell ref="V266:Z267"/>
    <mergeCell ref="AM263:AP263"/>
    <mergeCell ref="AQ263:AT263"/>
    <mergeCell ref="B261:J261"/>
    <mergeCell ref="AA259:AD259"/>
    <mergeCell ref="AE259:AH259"/>
    <mergeCell ref="AI259:AL259"/>
    <mergeCell ref="AM259:AP259"/>
    <mergeCell ref="AQ259:AT259"/>
    <mergeCell ref="B260:J260"/>
    <mergeCell ref="B259:J259"/>
    <mergeCell ref="K259:M259"/>
    <mergeCell ref="N259:P259"/>
    <mergeCell ref="Q259:U259"/>
    <mergeCell ref="V259:Z259"/>
    <mergeCell ref="K260:M260"/>
    <mergeCell ref="N260:P260"/>
    <mergeCell ref="Q260:U260"/>
    <mergeCell ref="B263:J263"/>
    <mergeCell ref="K263:M263"/>
    <mergeCell ref="N263:P263"/>
    <mergeCell ref="Q263:U263"/>
    <mergeCell ref="V263:Z263"/>
    <mergeCell ref="AA263:AD263"/>
    <mergeCell ref="B262:J262"/>
    <mergeCell ref="AQ257:AT257"/>
    <mergeCell ref="B258:J258"/>
    <mergeCell ref="K258:M258"/>
    <mergeCell ref="N258:P258"/>
    <mergeCell ref="Q258:U258"/>
    <mergeCell ref="V258:Z258"/>
    <mergeCell ref="AA258:AD258"/>
    <mergeCell ref="AE258:AH258"/>
    <mergeCell ref="AI258:AL258"/>
    <mergeCell ref="AM258:AP258"/>
    <mergeCell ref="AQ258:AT258"/>
    <mergeCell ref="B257:J257"/>
    <mergeCell ref="K257:M257"/>
    <mergeCell ref="N257:P257"/>
    <mergeCell ref="Q257:U257"/>
    <mergeCell ref="V257:Z257"/>
    <mergeCell ref="AA257:AD257"/>
    <mergeCell ref="AE257:AH257"/>
    <mergeCell ref="AI257:AL257"/>
    <mergeCell ref="AM257:AP257"/>
    <mergeCell ref="B255:J255"/>
    <mergeCell ref="B256:J256"/>
    <mergeCell ref="B254:J254"/>
    <mergeCell ref="K254:M254"/>
    <mergeCell ref="N254:P254"/>
    <mergeCell ref="Q254:U254"/>
    <mergeCell ref="AQ252:AT252"/>
    <mergeCell ref="B253:J253"/>
    <mergeCell ref="K253:M253"/>
    <mergeCell ref="N253:P253"/>
    <mergeCell ref="Q253:U253"/>
    <mergeCell ref="V253:Z253"/>
    <mergeCell ref="AA253:AD253"/>
    <mergeCell ref="AE253:AH253"/>
    <mergeCell ref="AI253:AL253"/>
    <mergeCell ref="AM253:AP253"/>
    <mergeCell ref="AQ253:AT253"/>
    <mergeCell ref="B252:J252"/>
    <mergeCell ref="K252:M252"/>
    <mergeCell ref="N252:P252"/>
    <mergeCell ref="Q252:U252"/>
    <mergeCell ref="V252:Z252"/>
    <mergeCell ref="AA252:AD252"/>
    <mergeCell ref="AE252:AH252"/>
    <mergeCell ref="AI252:AL252"/>
    <mergeCell ref="AM252:AP252"/>
    <mergeCell ref="B251:J251"/>
    <mergeCell ref="K251:M251"/>
    <mergeCell ref="N251:P251"/>
    <mergeCell ref="Q251:U251"/>
    <mergeCell ref="V251:Z251"/>
    <mergeCell ref="AA251:AD251"/>
    <mergeCell ref="B250:J250"/>
    <mergeCell ref="AE251:AH251"/>
    <mergeCell ref="AI251:AL251"/>
    <mergeCell ref="AM251:AP251"/>
    <mergeCell ref="K249:M250"/>
    <mergeCell ref="N249:P250"/>
    <mergeCell ref="Q249:U250"/>
    <mergeCell ref="V249:Z250"/>
    <mergeCell ref="AA249:AD250"/>
    <mergeCell ref="AE249:AH250"/>
    <mergeCell ref="AI249:AL250"/>
    <mergeCell ref="AM249:AP250"/>
    <mergeCell ref="AQ251:AT251"/>
    <mergeCell ref="B249:J249"/>
    <mergeCell ref="AA247:AD247"/>
    <mergeCell ref="AE247:AH247"/>
    <mergeCell ref="AI247:AL247"/>
    <mergeCell ref="AM247:AP247"/>
    <mergeCell ref="AQ247:AT247"/>
    <mergeCell ref="B248:J248"/>
    <mergeCell ref="B247:J247"/>
    <mergeCell ref="K247:M247"/>
    <mergeCell ref="N247:P247"/>
    <mergeCell ref="Q247:U247"/>
    <mergeCell ref="V247:Z247"/>
    <mergeCell ref="K248:M248"/>
    <mergeCell ref="N248:P248"/>
    <mergeCell ref="Q248:U248"/>
    <mergeCell ref="V248:Z248"/>
    <mergeCell ref="AA248:AD248"/>
    <mergeCell ref="AE248:AH248"/>
    <mergeCell ref="AI248:AL248"/>
    <mergeCell ref="AM248:AP248"/>
    <mergeCell ref="AQ248:AT248"/>
    <mergeCell ref="AQ249:AT250"/>
    <mergeCell ref="AQ245:AT245"/>
    <mergeCell ref="B246:J246"/>
    <mergeCell ref="K246:M246"/>
    <mergeCell ref="N246:P246"/>
    <mergeCell ref="Q246:U246"/>
    <mergeCell ref="V246:Z246"/>
    <mergeCell ref="AA246:AD246"/>
    <mergeCell ref="AE246:AH246"/>
    <mergeCell ref="AI246:AL246"/>
    <mergeCell ref="AM246:AP246"/>
    <mergeCell ref="AQ246:AT246"/>
    <mergeCell ref="B245:J245"/>
    <mergeCell ref="K245:M245"/>
    <mergeCell ref="N245:P245"/>
    <mergeCell ref="Q245:U245"/>
    <mergeCell ref="V245:Z245"/>
    <mergeCell ref="AA245:AD245"/>
    <mergeCell ref="AE245:AH245"/>
    <mergeCell ref="AI245:AL245"/>
    <mergeCell ref="AM245:AP245"/>
    <mergeCell ref="B243:J243"/>
    <mergeCell ref="B244:J244"/>
    <mergeCell ref="B242:J242"/>
    <mergeCell ref="K241:M242"/>
    <mergeCell ref="N241:P242"/>
    <mergeCell ref="Q241:U242"/>
    <mergeCell ref="B241:J241"/>
    <mergeCell ref="B239:J239"/>
    <mergeCell ref="B240:J240"/>
    <mergeCell ref="B238:J238"/>
    <mergeCell ref="K238:M238"/>
    <mergeCell ref="N238:P238"/>
    <mergeCell ref="B237:J237"/>
    <mergeCell ref="K237:M237"/>
    <mergeCell ref="N237:P237"/>
    <mergeCell ref="Q237:U237"/>
    <mergeCell ref="V237:Z237"/>
    <mergeCell ref="AA237:AD237"/>
    <mergeCell ref="Q238:U238"/>
    <mergeCell ref="V238:Z238"/>
    <mergeCell ref="AA238:AD238"/>
    <mergeCell ref="AE237:AH237"/>
    <mergeCell ref="AI237:AL237"/>
    <mergeCell ref="AM237:AP237"/>
    <mergeCell ref="AQ237:AT237"/>
    <mergeCell ref="B236:J236"/>
    <mergeCell ref="AQ233:AT233"/>
    <mergeCell ref="B234:J234"/>
    <mergeCell ref="B235:J235"/>
    <mergeCell ref="B233:J233"/>
    <mergeCell ref="K233:M233"/>
    <mergeCell ref="N233:P233"/>
    <mergeCell ref="Q233:U233"/>
    <mergeCell ref="V233:Z233"/>
    <mergeCell ref="AA233:AD233"/>
    <mergeCell ref="AE233:AH233"/>
    <mergeCell ref="AI233:AL233"/>
    <mergeCell ref="AM233:AP233"/>
    <mergeCell ref="K234:M234"/>
    <mergeCell ref="N234:P234"/>
    <mergeCell ref="Q234:U234"/>
    <mergeCell ref="V234:Z234"/>
    <mergeCell ref="AA234:AD234"/>
    <mergeCell ref="AE234:AH234"/>
    <mergeCell ref="AI234:AL234"/>
    <mergeCell ref="AQ231:AT231"/>
    <mergeCell ref="B232:J232"/>
    <mergeCell ref="K232:M232"/>
    <mergeCell ref="N232:P232"/>
    <mergeCell ref="Q232:U232"/>
    <mergeCell ref="V232:Z232"/>
    <mergeCell ref="AA232:AD232"/>
    <mergeCell ref="AE232:AH232"/>
    <mergeCell ref="AI232:AL232"/>
    <mergeCell ref="AM232:AP232"/>
    <mergeCell ref="AQ232:AT232"/>
    <mergeCell ref="B231:J231"/>
    <mergeCell ref="K231:M231"/>
    <mergeCell ref="N231:P231"/>
    <mergeCell ref="Q231:U231"/>
    <mergeCell ref="V231:Z231"/>
    <mergeCell ref="AA231:AD231"/>
    <mergeCell ref="AE231:AH231"/>
    <mergeCell ref="AI231:AL231"/>
    <mergeCell ref="AM231:AP231"/>
    <mergeCell ref="AQ229:AT229"/>
    <mergeCell ref="B230:J230"/>
    <mergeCell ref="K230:M230"/>
    <mergeCell ref="N230:P230"/>
    <mergeCell ref="Q230:U230"/>
    <mergeCell ref="V230:Z230"/>
    <mergeCell ref="AA230:AD230"/>
    <mergeCell ref="AE230:AH230"/>
    <mergeCell ref="AI230:AL230"/>
    <mergeCell ref="AM230:AP230"/>
    <mergeCell ref="AQ230:AT230"/>
    <mergeCell ref="B229:J229"/>
    <mergeCell ref="K229:M229"/>
    <mergeCell ref="N229:P229"/>
    <mergeCell ref="Q229:U229"/>
    <mergeCell ref="V229:Z229"/>
    <mergeCell ref="AA229:AD229"/>
    <mergeCell ref="AE229:AH229"/>
    <mergeCell ref="AI229:AL229"/>
    <mergeCell ref="AM229:AP229"/>
    <mergeCell ref="B227:J227"/>
    <mergeCell ref="B228:J228"/>
    <mergeCell ref="B226:J226"/>
    <mergeCell ref="K226:M226"/>
    <mergeCell ref="N226:P226"/>
    <mergeCell ref="Q226:U226"/>
    <mergeCell ref="B225:AT225"/>
    <mergeCell ref="AM223:AP223"/>
    <mergeCell ref="AQ223:AT223"/>
    <mergeCell ref="B220:J223"/>
    <mergeCell ref="K220:M223"/>
    <mergeCell ref="N220:P223"/>
    <mergeCell ref="Q220:AT220"/>
    <mergeCell ref="Q221:U223"/>
    <mergeCell ref="V221:AT221"/>
    <mergeCell ref="V222:Z223"/>
    <mergeCell ref="AA222:AD223"/>
    <mergeCell ref="AE222:AH223"/>
    <mergeCell ref="AI222:AL223"/>
    <mergeCell ref="AM222:AT222"/>
    <mergeCell ref="B224:J224"/>
    <mergeCell ref="K224:M224"/>
    <mergeCell ref="N224:P224"/>
    <mergeCell ref="Q224:U224"/>
    <mergeCell ref="C206:D206"/>
    <mergeCell ref="E206:F206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C205:D205"/>
    <mergeCell ref="E205:F205"/>
    <mergeCell ref="B197:C197"/>
    <mergeCell ref="B198:C198"/>
    <mergeCell ref="C202:D202"/>
    <mergeCell ref="F202:G202"/>
    <mergeCell ref="B199:C199"/>
    <mergeCell ref="C203:D203"/>
    <mergeCell ref="F203:G203"/>
    <mergeCell ref="B179:C179"/>
    <mergeCell ref="B180:C180"/>
    <mergeCell ref="B181:C181"/>
    <mergeCell ref="B182:C182"/>
    <mergeCell ref="B183:C183"/>
    <mergeCell ref="B184:C184"/>
    <mergeCell ref="B174:C174"/>
    <mergeCell ref="B175:C175"/>
    <mergeCell ref="B176:C176"/>
    <mergeCell ref="B177:C177"/>
    <mergeCell ref="B178:C178"/>
    <mergeCell ref="M58:M59"/>
    <mergeCell ref="H42:H44"/>
    <mergeCell ref="I42:I44"/>
    <mergeCell ref="H45:H46"/>
    <mergeCell ref="I45:I46"/>
    <mergeCell ref="B53:I53"/>
    <mergeCell ref="B55:B56"/>
    <mergeCell ref="C55:C56"/>
    <mergeCell ref="D55:D56"/>
    <mergeCell ref="E55:E56"/>
    <mergeCell ref="F55:I55"/>
    <mergeCell ref="A172:A173"/>
    <mergeCell ref="D172:D173"/>
    <mergeCell ref="E172:E173"/>
    <mergeCell ref="F172:I172"/>
    <mergeCell ref="C36:F36"/>
    <mergeCell ref="H36:H37"/>
    <mergeCell ref="I36:I37"/>
    <mergeCell ref="G38:H39"/>
    <mergeCell ref="I38:I39"/>
    <mergeCell ref="H40:H41"/>
    <mergeCell ref="I40:I41"/>
    <mergeCell ref="B172:C173"/>
    <mergeCell ref="B170:I170"/>
    <mergeCell ref="G34:H35"/>
    <mergeCell ref="I34:I35"/>
    <mergeCell ref="C35:F35"/>
    <mergeCell ref="G13:I13"/>
    <mergeCell ref="G14:I14"/>
    <mergeCell ref="G15:I15"/>
    <mergeCell ref="G18:I18"/>
    <mergeCell ref="G20:H20"/>
    <mergeCell ref="B26:I26"/>
    <mergeCell ref="G4:I4"/>
    <mergeCell ref="G5:I5"/>
    <mergeCell ref="G6:I6"/>
    <mergeCell ref="G8:I8"/>
    <mergeCell ref="G9:I9"/>
    <mergeCell ref="G11:H11"/>
    <mergeCell ref="B27:I27"/>
    <mergeCell ref="H32:H33"/>
    <mergeCell ref="I32:I33"/>
  </mergeCells>
  <pageMargins left="0.19685039370078741" right="0.19685039370078741" top="0.19685039370078741" bottom="0.19685039370078741" header="0" footer="0"/>
  <pageSetup paperSize="9" scale="4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  <pageSetUpPr fitToPage="1"/>
  </sheetPr>
  <dimension ref="A1:P307"/>
  <sheetViews>
    <sheetView view="pageBreakPreview" topLeftCell="A25" zoomScale="90" zoomScaleNormal="80" zoomScaleSheetLayoutView="90" workbookViewId="0">
      <selection activeCell="I119" sqref="I119"/>
    </sheetView>
  </sheetViews>
  <sheetFormatPr defaultColWidth="9.140625" defaultRowHeight="15" x14ac:dyDescent="0.25"/>
  <cols>
    <col min="1" max="1" width="54.5703125" style="63" customWidth="1"/>
    <col min="2" max="2" width="5.5703125" style="61" customWidth="1"/>
    <col min="3" max="3" width="4.85546875" style="101" customWidth="1"/>
    <col min="4" max="4" width="5.28515625" style="101" bestFit="1" customWidth="1"/>
    <col min="5" max="5" width="6.85546875" style="101" customWidth="1"/>
    <col min="6" max="8" width="16.85546875" style="61" customWidth="1"/>
    <col min="9" max="9" width="15.42578125" style="276" customWidth="1"/>
    <col min="10" max="11" width="15.42578125" style="61" bestFit="1" customWidth="1"/>
    <col min="12" max="12" width="13.140625" style="61" bestFit="1" customWidth="1"/>
    <col min="13" max="14" width="6.42578125" style="61" customWidth="1"/>
    <col min="15" max="15" width="19.85546875" style="63" customWidth="1"/>
    <col min="16" max="16" width="30.140625" style="63" customWidth="1"/>
    <col min="17" max="16384" width="9.140625" style="63"/>
  </cols>
  <sheetData>
    <row r="1" spans="1:16" x14ac:dyDescent="0.25">
      <c r="A1" s="58" t="s">
        <v>296</v>
      </c>
      <c r="B1" s="59"/>
      <c r="C1" s="60"/>
      <c r="D1" s="60"/>
      <c r="E1" s="60"/>
    </row>
    <row r="2" spans="1:16" x14ac:dyDescent="0.25">
      <c r="A2" s="512" t="s">
        <v>745</v>
      </c>
      <c r="B2" s="515" t="s">
        <v>297</v>
      </c>
      <c r="C2" s="518" t="s">
        <v>298</v>
      </c>
      <c r="D2" s="518" t="s">
        <v>299</v>
      </c>
      <c r="E2" s="518" t="s">
        <v>187</v>
      </c>
      <c r="F2" s="508" t="s">
        <v>300</v>
      </c>
      <c r="G2" s="508"/>
      <c r="H2" s="508"/>
      <c r="I2" s="508" t="s">
        <v>301</v>
      </c>
      <c r="J2" s="508"/>
      <c r="K2" s="508"/>
      <c r="L2" s="509" t="s">
        <v>302</v>
      </c>
      <c r="M2" s="510"/>
      <c r="N2" s="511"/>
    </row>
    <row r="3" spans="1:16" s="65" customFormat="1" ht="14.25" x14ac:dyDescent="0.2">
      <c r="A3" s="513"/>
      <c r="B3" s="516"/>
      <c r="C3" s="519"/>
      <c r="D3" s="519"/>
      <c r="E3" s="519"/>
      <c r="F3" s="64">
        <v>2023</v>
      </c>
      <c r="G3" s="64">
        <f>F3+1</f>
        <v>2024</v>
      </c>
      <c r="H3" s="64">
        <f>G3+1</f>
        <v>2025</v>
      </c>
      <c r="I3" s="277">
        <f>F3</f>
        <v>2023</v>
      </c>
      <c r="J3" s="64">
        <f>I3+1</f>
        <v>2024</v>
      </c>
      <c r="K3" s="64">
        <f>J3+1</f>
        <v>2025</v>
      </c>
      <c r="L3" s="64">
        <f>F3</f>
        <v>2023</v>
      </c>
      <c r="M3" s="64">
        <f>L3+1</f>
        <v>2024</v>
      </c>
      <c r="N3" s="64">
        <f>M3+1</f>
        <v>2025</v>
      </c>
    </row>
    <row r="4" spans="1:16" s="65" customFormat="1" ht="14.25" x14ac:dyDescent="0.2">
      <c r="A4" s="514"/>
      <c r="B4" s="517"/>
      <c r="C4" s="520"/>
      <c r="D4" s="520"/>
      <c r="E4" s="520"/>
      <c r="F4" s="66">
        <f t="shared" ref="F4:N4" si="0">SUM(F5,F197,F245)</f>
        <v>60136712.099999994</v>
      </c>
      <c r="G4" s="66">
        <f t="shared" si="0"/>
        <v>32634251.25</v>
      </c>
      <c r="H4" s="66">
        <f t="shared" si="0"/>
        <v>32634251.25</v>
      </c>
      <c r="I4" s="195">
        <f t="shared" si="0"/>
        <v>57314008.920000002</v>
      </c>
      <c r="J4" s="66">
        <f t="shared" si="0"/>
        <v>32634251.25</v>
      </c>
      <c r="K4" s="66">
        <f t="shared" si="0"/>
        <v>32634251.25</v>
      </c>
      <c r="L4" s="66">
        <f t="shared" si="0"/>
        <v>2822703.18</v>
      </c>
      <c r="M4" s="66">
        <f t="shared" si="0"/>
        <v>0</v>
      </c>
      <c r="N4" s="66">
        <f t="shared" si="0"/>
        <v>0</v>
      </c>
    </row>
    <row r="5" spans="1:16" s="65" customFormat="1" ht="14.25" x14ac:dyDescent="0.2">
      <c r="A5" s="67" t="s">
        <v>303</v>
      </c>
      <c r="B5" s="68"/>
      <c r="C5" s="69" t="s">
        <v>32</v>
      </c>
      <c r="D5" s="69" t="s">
        <v>32</v>
      </c>
      <c r="E5" s="69" t="s">
        <v>32</v>
      </c>
      <c r="F5" s="66">
        <f t="shared" ref="F5:N5" si="1">SUM(F6,F104,F111,F113,F159,F179)</f>
        <v>58505828.399999991</v>
      </c>
      <c r="G5" s="66">
        <f t="shared" si="1"/>
        <v>32634251.25</v>
      </c>
      <c r="H5" s="66">
        <f t="shared" si="1"/>
        <v>32634251.25</v>
      </c>
      <c r="I5" s="195">
        <f>SUM(I6,I104,I111,I113,I159,I179)</f>
        <v>55690637.219999999</v>
      </c>
      <c r="J5" s="66">
        <f t="shared" si="1"/>
        <v>32634251.25</v>
      </c>
      <c r="K5" s="66">
        <f t="shared" si="1"/>
        <v>32634251.25</v>
      </c>
      <c r="L5" s="66">
        <f t="shared" si="1"/>
        <v>2815191.18</v>
      </c>
      <c r="M5" s="66">
        <f t="shared" si="1"/>
        <v>0</v>
      </c>
      <c r="N5" s="66">
        <f t="shared" si="1"/>
        <v>0</v>
      </c>
    </row>
    <row r="6" spans="1:16" s="58" customFormat="1" ht="14.25" x14ac:dyDescent="0.2">
      <c r="A6" s="203" t="s">
        <v>717</v>
      </c>
      <c r="B6" s="203"/>
      <c r="C6" s="292" t="s">
        <v>32</v>
      </c>
      <c r="D6" s="292" t="s">
        <v>32</v>
      </c>
      <c r="E6" s="292" t="s">
        <v>32</v>
      </c>
      <c r="F6" s="293">
        <f t="shared" ref="F6:K6" si="2">SUM(F7,F8,F9,F10,F11,F12,F13,F21,F19,F60,F85,F57,F86,F87,F88,F89,F90,F91,F17,F18,F20)</f>
        <v>23961578.729999997</v>
      </c>
      <c r="G6" s="293">
        <f t="shared" si="2"/>
        <v>8903326.25</v>
      </c>
      <c r="H6" s="293">
        <f t="shared" si="2"/>
        <v>8903326.25</v>
      </c>
      <c r="I6" s="293">
        <f>SUM(I7,I8,I9,I10,I11,I12,I13,I21,I19,I60,I85,I57,I86,I87,I88,I89,I90,I91,I17,I18,I20)</f>
        <v>23323808</v>
      </c>
      <c r="J6" s="293">
        <f t="shared" si="2"/>
        <v>8903326.25</v>
      </c>
      <c r="K6" s="293">
        <f t="shared" si="2"/>
        <v>8903326.25</v>
      </c>
      <c r="L6" s="293">
        <f t="shared" ref="L6:N6" si="3">SUM(L7,L8,L9,L10,L11,L12,L13,L21,L19,L60,L85,L57,L86,L87,L88,L89,L90,L91,L17,L18,L20)</f>
        <v>637770.73</v>
      </c>
      <c r="M6" s="293">
        <f t="shared" si="3"/>
        <v>0</v>
      </c>
      <c r="N6" s="293">
        <f t="shared" si="3"/>
        <v>0</v>
      </c>
      <c r="O6" s="70" t="s">
        <v>718</v>
      </c>
      <c r="P6" s="70" t="s">
        <v>305</v>
      </c>
    </row>
    <row r="7" spans="1:16" x14ac:dyDescent="0.25">
      <c r="A7" s="71" t="s">
        <v>306</v>
      </c>
      <c r="B7" s="71"/>
      <c r="C7" s="72" t="s">
        <v>307</v>
      </c>
      <c r="D7" s="72" t="s">
        <v>308</v>
      </c>
      <c r="E7" s="72" t="s">
        <v>309</v>
      </c>
      <c r="F7" s="194">
        <f>I7+L7</f>
        <v>11075884.529999999</v>
      </c>
      <c r="G7" s="194">
        <f t="shared" ref="G7:H12" si="4">J7+M7</f>
        <v>2950895</v>
      </c>
      <c r="H7" s="194">
        <f t="shared" si="4"/>
        <v>2950895</v>
      </c>
      <c r="I7" s="300">
        <f>2950895-I8+7511988+290338.76</f>
        <v>10673221.76</v>
      </c>
      <c r="J7" s="191">
        <v>2950895</v>
      </c>
      <c r="K7" s="191">
        <f>J7</f>
        <v>2950895</v>
      </c>
      <c r="L7" s="194">
        <v>402662.77</v>
      </c>
      <c r="M7" s="194"/>
      <c r="N7" s="194"/>
      <c r="P7" s="63" t="s">
        <v>612</v>
      </c>
    </row>
    <row r="8" spans="1:16" x14ac:dyDescent="0.25">
      <c r="A8" s="71" t="s">
        <v>310</v>
      </c>
      <c r="B8" s="71"/>
      <c r="C8" s="72" t="s">
        <v>307</v>
      </c>
      <c r="D8" s="72" t="s">
        <v>308</v>
      </c>
      <c r="E8" s="72" t="s">
        <v>311</v>
      </c>
      <c r="F8" s="194">
        <f>I8+L8</f>
        <v>80000</v>
      </c>
      <c r="G8" s="194"/>
      <c r="H8" s="194"/>
      <c r="I8" s="191">
        <v>80000</v>
      </c>
      <c r="J8" s="191"/>
      <c r="K8" s="191"/>
      <c r="L8" s="194"/>
      <c r="M8" s="194"/>
      <c r="N8" s="194"/>
    </row>
    <row r="9" spans="1:16" s="76" customFormat="1" x14ac:dyDescent="0.25">
      <c r="A9" s="71" t="s">
        <v>312</v>
      </c>
      <c r="B9" s="71" t="s">
        <v>313</v>
      </c>
      <c r="C9" s="72" t="s">
        <v>314</v>
      </c>
      <c r="D9" s="72" t="s">
        <v>315</v>
      </c>
      <c r="E9" s="72" t="s">
        <v>311</v>
      </c>
      <c r="F9" s="73">
        <f t="shared" ref="F9:F11" si="5">I9+L9</f>
        <v>0</v>
      </c>
      <c r="G9" s="73">
        <f t="shared" si="4"/>
        <v>0</v>
      </c>
      <c r="H9" s="73">
        <f t="shared" si="4"/>
        <v>0</v>
      </c>
      <c r="I9" s="191"/>
      <c r="J9" s="191"/>
      <c r="K9" s="191"/>
      <c r="L9" s="194"/>
      <c r="M9" s="73"/>
      <c r="N9" s="73"/>
      <c r="O9" s="75"/>
    </row>
    <row r="10" spans="1:16" s="76" customFormat="1" x14ac:dyDescent="0.25">
      <c r="A10" s="71" t="s">
        <v>316</v>
      </c>
      <c r="B10" s="71" t="s">
        <v>313</v>
      </c>
      <c r="C10" s="72" t="s">
        <v>314</v>
      </c>
      <c r="D10" s="72" t="s">
        <v>315</v>
      </c>
      <c r="E10" s="72" t="s">
        <v>317</v>
      </c>
      <c r="F10" s="73">
        <f t="shared" si="5"/>
        <v>0</v>
      </c>
      <c r="G10" s="73">
        <f t="shared" si="4"/>
        <v>0</v>
      </c>
      <c r="H10" s="73">
        <f t="shared" si="4"/>
        <v>0</v>
      </c>
      <c r="I10" s="191"/>
      <c r="J10" s="191"/>
      <c r="K10" s="191"/>
      <c r="L10" s="194"/>
      <c r="M10" s="73"/>
      <c r="N10" s="73"/>
      <c r="O10" s="75"/>
    </row>
    <row r="11" spans="1:16" s="76" customFormat="1" x14ac:dyDescent="0.25">
      <c r="A11" s="71" t="s">
        <v>318</v>
      </c>
      <c r="B11" s="71" t="s">
        <v>313</v>
      </c>
      <c r="C11" s="72" t="s">
        <v>314</v>
      </c>
      <c r="D11" s="72" t="s">
        <v>315</v>
      </c>
      <c r="E11" s="72" t="s">
        <v>311</v>
      </c>
      <c r="F11" s="73">
        <f t="shared" si="5"/>
        <v>0</v>
      </c>
      <c r="G11" s="73">
        <f t="shared" si="4"/>
        <v>0</v>
      </c>
      <c r="H11" s="73">
        <f t="shared" si="4"/>
        <v>0</v>
      </c>
      <c r="I11" s="191"/>
      <c r="J11" s="191"/>
      <c r="K11" s="191"/>
      <c r="L11" s="194"/>
      <c r="M11" s="73"/>
      <c r="N11" s="73"/>
      <c r="O11" s="75"/>
    </row>
    <row r="12" spans="1:16" x14ac:dyDescent="0.25">
      <c r="A12" s="71" t="s">
        <v>319</v>
      </c>
      <c r="B12" s="71"/>
      <c r="C12" s="72" t="s">
        <v>320</v>
      </c>
      <c r="D12" s="72" t="s">
        <v>321</v>
      </c>
      <c r="E12" s="72" t="s">
        <v>322</v>
      </c>
      <c r="F12" s="73">
        <f>I12+L12</f>
        <v>3369735.96</v>
      </c>
      <c r="G12" s="73">
        <f t="shared" si="4"/>
        <v>884805</v>
      </c>
      <c r="H12" s="73">
        <f t="shared" si="4"/>
        <v>884805</v>
      </c>
      <c r="I12" s="191">
        <f>884805+2252768</f>
        <v>3137573</v>
      </c>
      <c r="J12" s="191">
        <v>884805</v>
      </c>
      <c r="K12" s="191">
        <f>J12</f>
        <v>884805</v>
      </c>
      <c r="L12" s="194">
        <v>232162.96</v>
      </c>
      <c r="M12" s="73"/>
      <c r="N12" s="73"/>
    </row>
    <row r="13" spans="1:16" s="58" customFormat="1" ht="14.25" x14ac:dyDescent="0.2">
      <c r="A13" s="77" t="s">
        <v>323</v>
      </c>
      <c r="B13" s="77"/>
      <c r="C13" s="78"/>
      <c r="D13" s="78" t="s">
        <v>324</v>
      </c>
      <c r="E13" s="78" t="s">
        <v>325</v>
      </c>
      <c r="F13" s="79">
        <f>SUM(F14:F15)</f>
        <v>37192.979999999996</v>
      </c>
      <c r="G13" s="79">
        <f t="shared" ref="G13:N13" si="6">SUM(G14:G15)</f>
        <v>21546</v>
      </c>
      <c r="H13" s="79">
        <f t="shared" si="6"/>
        <v>21546</v>
      </c>
      <c r="I13" s="192">
        <f t="shared" si="6"/>
        <v>37192.979999999996</v>
      </c>
      <c r="J13" s="192">
        <f>SUM(J14:J15)</f>
        <v>21546</v>
      </c>
      <c r="K13" s="192">
        <f t="shared" si="6"/>
        <v>21546</v>
      </c>
      <c r="L13" s="193">
        <f t="shared" si="6"/>
        <v>0</v>
      </c>
      <c r="M13" s="79">
        <f t="shared" si="6"/>
        <v>0</v>
      </c>
      <c r="N13" s="79">
        <f t="shared" si="6"/>
        <v>0</v>
      </c>
    </row>
    <row r="14" spans="1:16" ht="30" x14ac:dyDescent="0.25">
      <c r="A14" s="71" t="s">
        <v>326</v>
      </c>
      <c r="B14" s="71"/>
      <c r="C14" s="72" t="s">
        <v>327</v>
      </c>
      <c r="D14" s="72" t="s">
        <v>324</v>
      </c>
      <c r="E14" s="72" t="s">
        <v>325</v>
      </c>
      <c r="F14" s="73">
        <f t="shared" ref="F14:H20" si="7">I14+L14</f>
        <v>25192.98</v>
      </c>
      <c r="G14" s="73">
        <f t="shared" si="7"/>
        <v>14546</v>
      </c>
      <c r="H14" s="73">
        <f t="shared" si="7"/>
        <v>14546</v>
      </c>
      <c r="I14" s="191">
        <f>14546+8041.93+605.02+2000.03</f>
        <v>25192.98</v>
      </c>
      <c r="J14" s="191">
        <v>14546</v>
      </c>
      <c r="K14" s="191">
        <f>J14</f>
        <v>14546</v>
      </c>
      <c r="L14" s="194"/>
      <c r="M14" s="73"/>
      <c r="N14" s="73"/>
      <c r="O14" s="74"/>
    </row>
    <row r="15" spans="1:16" s="76" customFormat="1" x14ac:dyDescent="0.25">
      <c r="A15" s="71" t="s">
        <v>328</v>
      </c>
      <c r="B15" s="71" t="s">
        <v>313</v>
      </c>
      <c r="C15" s="72" t="s">
        <v>314</v>
      </c>
      <c r="D15" s="72" t="s">
        <v>324</v>
      </c>
      <c r="E15" s="72" t="s">
        <v>325</v>
      </c>
      <c r="F15" s="73">
        <f t="shared" si="7"/>
        <v>12000</v>
      </c>
      <c r="G15" s="73">
        <f t="shared" si="7"/>
        <v>7000</v>
      </c>
      <c r="H15" s="73">
        <f t="shared" si="7"/>
        <v>7000</v>
      </c>
      <c r="I15" s="191">
        <f>7000+2000+2000+1000</f>
        <v>12000</v>
      </c>
      <c r="J15" s="191">
        <v>7000</v>
      </c>
      <c r="K15" s="191">
        <f>J15</f>
        <v>7000</v>
      </c>
      <c r="L15" s="194"/>
      <c r="M15" s="73"/>
      <c r="N15" s="73"/>
      <c r="O15" s="75"/>
    </row>
    <row r="16" spans="1:16" s="159" customFormat="1" ht="14.25" x14ac:dyDescent="0.2">
      <c r="A16" s="77" t="s">
        <v>329</v>
      </c>
      <c r="B16" s="77" t="s">
        <v>313</v>
      </c>
      <c r="C16" s="78" t="s">
        <v>314</v>
      </c>
      <c r="D16" s="78" t="s">
        <v>324</v>
      </c>
      <c r="E16" s="78" t="s">
        <v>330</v>
      </c>
      <c r="F16" s="79">
        <f t="shared" si="7"/>
        <v>0</v>
      </c>
      <c r="G16" s="79">
        <f>J16+M16</f>
        <v>0</v>
      </c>
      <c r="H16" s="79">
        <f t="shared" si="7"/>
        <v>0</v>
      </c>
      <c r="I16" s="192"/>
      <c r="J16" s="192"/>
      <c r="K16" s="192"/>
      <c r="L16" s="193"/>
      <c r="M16" s="79"/>
      <c r="N16" s="79"/>
      <c r="O16" s="158"/>
    </row>
    <row r="17" spans="1:15" s="58" customFormat="1" ht="14.25" customHeight="1" x14ac:dyDescent="0.2">
      <c r="A17" s="253" t="s">
        <v>685</v>
      </c>
      <c r="B17" s="77"/>
      <c r="C17" s="78" t="s">
        <v>332</v>
      </c>
      <c r="D17" s="256" t="s">
        <v>324</v>
      </c>
      <c r="E17" s="78" t="s">
        <v>333</v>
      </c>
      <c r="F17" s="79">
        <f>I17+L17</f>
        <v>231787.3</v>
      </c>
      <c r="G17" s="79">
        <f t="shared" ref="G17:H18" si="8">J17+M17</f>
        <v>92360</v>
      </c>
      <c r="H17" s="79">
        <f t="shared" si="8"/>
        <v>92360</v>
      </c>
      <c r="I17" s="192">
        <f>92360+89686+49329</f>
        <v>231375</v>
      </c>
      <c r="J17" s="192">
        <v>92360</v>
      </c>
      <c r="K17" s="192">
        <f>J17</f>
        <v>92360</v>
      </c>
      <c r="L17" s="193">
        <v>412.3</v>
      </c>
      <c r="M17" s="79"/>
      <c r="N17" s="79"/>
      <c r="O17" s="81"/>
    </row>
    <row r="18" spans="1:15" s="58" customFormat="1" ht="14.25" customHeight="1" x14ac:dyDescent="0.2">
      <c r="A18" s="253" t="s">
        <v>684</v>
      </c>
      <c r="B18" s="77"/>
      <c r="C18" s="78" t="s">
        <v>332</v>
      </c>
      <c r="D18" s="256" t="s">
        <v>667</v>
      </c>
      <c r="E18" s="78" t="s">
        <v>333</v>
      </c>
      <c r="F18" s="79">
        <f>I18+L18</f>
        <v>3895978.7</v>
      </c>
      <c r="G18" s="79">
        <f t="shared" si="8"/>
        <v>2290440</v>
      </c>
      <c r="H18" s="79">
        <f t="shared" si="8"/>
        <v>2290440</v>
      </c>
      <c r="I18" s="192">
        <f>(516730+375314+291774)+(1773710+338390+55699+541829)</f>
        <v>3893446</v>
      </c>
      <c r="J18" s="192">
        <v>2290440</v>
      </c>
      <c r="K18" s="192">
        <f>J18</f>
        <v>2290440</v>
      </c>
      <c r="L18" s="193">
        <f>618.45+1914.25</f>
        <v>2532.6999999999998</v>
      </c>
      <c r="M18" s="79"/>
      <c r="N18" s="79"/>
      <c r="O18" s="81"/>
    </row>
    <row r="19" spans="1:15" s="58" customFormat="1" ht="14.25" x14ac:dyDescent="0.2">
      <c r="A19" s="150" t="s">
        <v>334</v>
      </c>
      <c r="B19" s="150"/>
      <c r="C19" s="78" t="s">
        <v>335</v>
      </c>
      <c r="D19" s="151" t="s">
        <v>324</v>
      </c>
      <c r="E19" s="78" t="s">
        <v>333</v>
      </c>
      <c r="F19" s="79">
        <f>I19+L19</f>
        <v>1172398.26</v>
      </c>
      <c r="G19" s="79">
        <f>J19+M19</f>
        <v>750600</v>
      </c>
      <c r="H19" s="79">
        <f>K19+N19</f>
        <v>750600</v>
      </c>
      <c r="I19" s="192">
        <f>750600+98009.32+82728.94+241060</f>
        <v>1172398.26</v>
      </c>
      <c r="J19" s="192">
        <v>750600</v>
      </c>
      <c r="K19" s="192">
        <f>J19</f>
        <v>750600</v>
      </c>
      <c r="L19" s="79"/>
      <c r="M19" s="79"/>
      <c r="N19" s="79"/>
      <c r="O19" s="158"/>
    </row>
    <row r="20" spans="1:15" s="159" customFormat="1" ht="14.25" x14ac:dyDescent="0.2">
      <c r="A20" s="150" t="s">
        <v>336</v>
      </c>
      <c r="B20" s="77" t="s">
        <v>313</v>
      </c>
      <c r="C20" s="78" t="s">
        <v>314</v>
      </c>
      <c r="D20" s="151" t="s">
        <v>324</v>
      </c>
      <c r="E20" s="78" t="s">
        <v>337</v>
      </c>
      <c r="F20" s="79">
        <f t="shared" si="7"/>
        <v>0</v>
      </c>
      <c r="G20" s="79">
        <f t="shared" si="7"/>
        <v>0</v>
      </c>
      <c r="H20" s="79">
        <f t="shared" si="7"/>
        <v>0</v>
      </c>
      <c r="I20" s="192"/>
      <c r="J20" s="192"/>
      <c r="K20" s="192"/>
      <c r="L20" s="79"/>
      <c r="M20" s="79"/>
      <c r="N20" s="79"/>
      <c r="O20" s="158"/>
    </row>
    <row r="21" spans="1:15" s="58" customFormat="1" ht="18" customHeight="1" x14ac:dyDescent="0.2">
      <c r="A21" s="77" t="s">
        <v>338</v>
      </c>
      <c r="B21" s="77"/>
      <c r="C21" s="78"/>
      <c r="D21" s="78" t="s">
        <v>324</v>
      </c>
      <c r="E21" s="78" t="s">
        <v>339</v>
      </c>
      <c r="F21" s="80">
        <f>SUM(F22:F56)</f>
        <v>269904</v>
      </c>
      <c r="G21" s="80">
        <f t="shared" ref="G21" si="9">SUM(G22:G56)</f>
        <v>160405.25</v>
      </c>
      <c r="H21" s="80">
        <f>SUM(H22:H56)</f>
        <v>160405.25</v>
      </c>
      <c r="I21" s="192">
        <f>SUM(I22:I56)</f>
        <v>269904</v>
      </c>
      <c r="J21" s="192">
        <f>SUM(J22:J56)</f>
        <v>160405.25</v>
      </c>
      <c r="K21" s="192">
        <f t="shared" ref="K21:N21" si="10">SUM(K22:K56)</f>
        <v>160405.25</v>
      </c>
      <c r="L21" s="80">
        <f t="shared" si="10"/>
        <v>0</v>
      </c>
      <c r="M21" s="80">
        <f t="shared" si="10"/>
        <v>0</v>
      </c>
      <c r="N21" s="80">
        <f t="shared" si="10"/>
        <v>0</v>
      </c>
      <c r="O21" s="81"/>
    </row>
    <row r="22" spans="1:15" ht="30" x14ac:dyDescent="0.25">
      <c r="A22" s="71" t="s">
        <v>340</v>
      </c>
      <c r="B22" s="71"/>
      <c r="C22" s="72" t="s">
        <v>704</v>
      </c>
      <c r="D22" s="72" t="s">
        <v>324</v>
      </c>
      <c r="E22" s="72" t="s">
        <v>339</v>
      </c>
      <c r="F22" s="73">
        <f t="shared" ref="F22:H85" si="11">I22+L22</f>
        <v>17718.72</v>
      </c>
      <c r="G22" s="73">
        <f t="shared" si="11"/>
        <v>10335.92</v>
      </c>
      <c r="H22" s="73">
        <f t="shared" si="11"/>
        <v>10335.92</v>
      </c>
      <c r="I22" s="191">
        <f>10335.92+2953.12+4429.68</f>
        <v>17718.72</v>
      </c>
      <c r="J22" s="191">
        <v>10335.92</v>
      </c>
      <c r="K22" s="191">
        <f>J22</f>
        <v>10335.92</v>
      </c>
      <c r="L22" s="73"/>
      <c r="M22" s="73"/>
      <c r="N22" s="73"/>
      <c r="O22" s="74"/>
    </row>
    <row r="23" spans="1:15" s="84" customFormat="1" ht="15" customHeight="1" x14ac:dyDescent="0.25">
      <c r="A23" s="71" t="s">
        <v>342</v>
      </c>
      <c r="B23" s="71" t="s">
        <v>343</v>
      </c>
      <c r="C23" s="72" t="s">
        <v>314</v>
      </c>
      <c r="D23" s="72" t="s">
        <v>324</v>
      </c>
      <c r="E23" s="72" t="s">
        <v>339</v>
      </c>
      <c r="F23" s="73">
        <f t="shared" si="11"/>
        <v>0</v>
      </c>
      <c r="G23" s="73">
        <f t="shared" si="11"/>
        <v>0</v>
      </c>
      <c r="H23" s="73">
        <f t="shared" si="11"/>
        <v>0</v>
      </c>
      <c r="I23" s="191"/>
      <c r="J23" s="191"/>
      <c r="K23" s="191"/>
      <c r="L23" s="73"/>
      <c r="M23" s="73"/>
      <c r="N23" s="73"/>
      <c r="O23" s="85"/>
    </row>
    <row r="24" spans="1:15" ht="30" x14ac:dyDescent="0.25">
      <c r="A24" s="71" t="s">
        <v>344</v>
      </c>
      <c r="B24" s="71"/>
      <c r="C24" s="72" t="s">
        <v>345</v>
      </c>
      <c r="D24" s="72" t="s">
        <v>324</v>
      </c>
      <c r="E24" s="72" t="s">
        <v>339</v>
      </c>
      <c r="F24" s="73">
        <f t="shared" si="11"/>
        <v>15300</v>
      </c>
      <c r="G24" s="73">
        <f t="shared" si="11"/>
        <v>8925</v>
      </c>
      <c r="H24" s="73">
        <f t="shared" si="11"/>
        <v>8925</v>
      </c>
      <c r="I24" s="191">
        <f>8925+2550+2550+1275</f>
        <v>15300</v>
      </c>
      <c r="J24" s="191">
        <v>8925</v>
      </c>
      <c r="K24" s="191">
        <f t="shared" ref="K24:K27" si="12">J24</f>
        <v>8925</v>
      </c>
      <c r="L24" s="73"/>
      <c r="M24" s="73"/>
      <c r="N24" s="73"/>
      <c r="O24" s="74"/>
    </row>
    <row r="25" spans="1:15" ht="15" customHeight="1" x14ac:dyDescent="0.25">
      <c r="A25" s="71" t="s">
        <v>346</v>
      </c>
      <c r="B25" s="71"/>
      <c r="C25" s="72" t="s">
        <v>345</v>
      </c>
      <c r="D25" s="72" t="s">
        <v>324</v>
      </c>
      <c r="E25" s="72" t="s">
        <v>339</v>
      </c>
      <c r="F25" s="73">
        <f>I25+L25</f>
        <v>113824.68</v>
      </c>
      <c r="G25" s="73">
        <f t="shared" si="11"/>
        <v>66397.73</v>
      </c>
      <c r="H25" s="73">
        <f t="shared" si="11"/>
        <v>66397.73</v>
      </c>
      <c r="I25" s="191">
        <f>66397.73+18970.78+18970.78+9485.39</f>
        <v>113824.68</v>
      </c>
      <c r="J25" s="191">
        <v>66397.73</v>
      </c>
      <c r="K25" s="191">
        <f t="shared" si="12"/>
        <v>66397.73</v>
      </c>
      <c r="L25" s="73"/>
      <c r="M25" s="73"/>
      <c r="N25" s="73"/>
      <c r="O25" s="74"/>
    </row>
    <row r="26" spans="1:15" x14ac:dyDescent="0.25">
      <c r="A26" s="71" t="s">
        <v>347</v>
      </c>
      <c r="B26" s="71"/>
      <c r="C26" s="72" t="s">
        <v>335</v>
      </c>
      <c r="D26" s="72" t="s">
        <v>324</v>
      </c>
      <c r="E26" s="72" t="s">
        <v>339</v>
      </c>
      <c r="F26" s="73">
        <f>I26+L26</f>
        <v>0</v>
      </c>
      <c r="G26" s="73">
        <f t="shared" si="11"/>
        <v>0</v>
      </c>
      <c r="H26" s="73">
        <f t="shared" si="11"/>
        <v>0</v>
      </c>
      <c r="I26" s="191"/>
      <c r="J26" s="191"/>
      <c r="K26" s="191"/>
      <c r="L26" s="73"/>
      <c r="M26" s="73"/>
      <c r="N26" s="73"/>
      <c r="O26" s="74"/>
    </row>
    <row r="27" spans="1:15" ht="14.25" customHeight="1" x14ac:dyDescent="0.25">
      <c r="A27" s="71" t="s">
        <v>348</v>
      </c>
      <c r="B27" s="71" t="s">
        <v>313</v>
      </c>
      <c r="C27" s="72" t="s">
        <v>314</v>
      </c>
      <c r="D27" s="72" t="s">
        <v>324</v>
      </c>
      <c r="E27" s="72" t="s">
        <v>339</v>
      </c>
      <c r="F27" s="73">
        <f t="shared" si="11"/>
        <v>25977.600000000002</v>
      </c>
      <c r="G27" s="73">
        <f t="shared" si="11"/>
        <v>15153.6</v>
      </c>
      <c r="H27" s="73">
        <f t="shared" si="11"/>
        <v>15153.6</v>
      </c>
      <c r="I27" s="191">
        <f>15153.6+4329.6+4329.6+2164.8</f>
        <v>25977.600000000002</v>
      </c>
      <c r="J27" s="191">
        <v>15153.6</v>
      </c>
      <c r="K27" s="191">
        <f t="shared" si="12"/>
        <v>15153.6</v>
      </c>
      <c r="L27" s="73"/>
      <c r="M27" s="73"/>
      <c r="N27" s="73"/>
      <c r="O27" s="74"/>
    </row>
    <row r="28" spans="1:15" ht="14.25" customHeight="1" x14ac:dyDescent="0.25">
      <c r="A28" s="71" t="s">
        <v>349</v>
      </c>
      <c r="B28" s="71" t="s">
        <v>313</v>
      </c>
      <c r="C28" s="72" t="s">
        <v>314</v>
      </c>
      <c r="D28" s="72" t="s">
        <v>324</v>
      </c>
      <c r="E28" s="72" t="s">
        <v>339</v>
      </c>
      <c r="F28" s="73">
        <f t="shared" si="11"/>
        <v>0</v>
      </c>
      <c r="G28" s="73">
        <f t="shared" si="11"/>
        <v>0</v>
      </c>
      <c r="H28" s="73">
        <f t="shared" si="11"/>
        <v>0</v>
      </c>
      <c r="I28" s="191"/>
      <c r="J28" s="191"/>
      <c r="K28" s="191"/>
      <c r="L28" s="73"/>
      <c r="M28" s="73"/>
      <c r="N28" s="73"/>
      <c r="O28" s="74"/>
    </row>
    <row r="29" spans="1:15" ht="14.25" customHeight="1" x14ac:dyDescent="0.25">
      <c r="A29" s="71" t="s">
        <v>350</v>
      </c>
      <c r="B29" s="71" t="s">
        <v>313</v>
      </c>
      <c r="C29" s="72" t="s">
        <v>314</v>
      </c>
      <c r="D29" s="72" t="s">
        <v>324</v>
      </c>
      <c r="E29" s="72" t="s">
        <v>339</v>
      </c>
      <c r="F29" s="73">
        <f t="shared" si="11"/>
        <v>0</v>
      </c>
      <c r="G29" s="73">
        <f t="shared" si="11"/>
        <v>0</v>
      </c>
      <c r="H29" s="73">
        <f t="shared" si="11"/>
        <v>0</v>
      </c>
      <c r="I29" s="191"/>
      <c r="J29" s="191"/>
      <c r="K29" s="191"/>
      <c r="L29" s="73"/>
      <c r="M29" s="73"/>
      <c r="N29" s="73"/>
      <c r="O29" s="74"/>
    </row>
    <row r="30" spans="1:15" ht="14.25" customHeight="1" x14ac:dyDescent="0.25">
      <c r="A30" s="196" t="s">
        <v>475</v>
      </c>
      <c r="B30" s="71" t="s">
        <v>313</v>
      </c>
      <c r="C30" s="72" t="s">
        <v>314</v>
      </c>
      <c r="D30" s="72" t="s">
        <v>324</v>
      </c>
      <c r="E30" s="72" t="s">
        <v>339</v>
      </c>
      <c r="F30" s="73">
        <f t="shared" si="11"/>
        <v>0</v>
      </c>
      <c r="G30" s="73">
        <f t="shared" si="11"/>
        <v>0</v>
      </c>
      <c r="H30" s="73">
        <f t="shared" si="11"/>
        <v>0</v>
      </c>
      <c r="I30" s="191"/>
      <c r="J30" s="191"/>
      <c r="K30" s="191"/>
      <c r="L30" s="73"/>
      <c r="M30" s="73"/>
      <c r="N30" s="73"/>
      <c r="O30" s="74"/>
    </row>
    <row r="31" spans="1:15" ht="14.25" customHeight="1" x14ac:dyDescent="0.25">
      <c r="A31" s="71" t="s">
        <v>352</v>
      </c>
      <c r="B31" s="71" t="s">
        <v>313</v>
      </c>
      <c r="C31" s="72" t="s">
        <v>314</v>
      </c>
      <c r="D31" s="72" t="s">
        <v>324</v>
      </c>
      <c r="E31" s="72" t="s">
        <v>339</v>
      </c>
      <c r="F31" s="73">
        <f t="shared" si="11"/>
        <v>0</v>
      </c>
      <c r="G31" s="73">
        <f t="shared" si="11"/>
        <v>0</v>
      </c>
      <c r="H31" s="73">
        <f t="shared" si="11"/>
        <v>0</v>
      </c>
      <c r="I31" s="191"/>
      <c r="J31" s="191"/>
      <c r="K31" s="191"/>
      <c r="L31" s="73"/>
      <c r="M31" s="73"/>
      <c r="N31" s="73"/>
      <c r="O31" s="74"/>
    </row>
    <row r="32" spans="1:15" ht="14.25" customHeight="1" x14ac:dyDescent="0.25">
      <c r="A32" s="71" t="s">
        <v>466</v>
      </c>
      <c r="B32" s="71" t="s">
        <v>313</v>
      </c>
      <c r="C32" s="72" t="s">
        <v>314</v>
      </c>
      <c r="D32" s="72" t="s">
        <v>324</v>
      </c>
      <c r="E32" s="72" t="s">
        <v>339</v>
      </c>
      <c r="F32" s="73">
        <f t="shared" ref="F32" si="13">I32+L32</f>
        <v>0</v>
      </c>
      <c r="G32" s="73">
        <f t="shared" ref="G32" si="14">J32+M32</f>
        <v>0</v>
      </c>
      <c r="H32" s="73">
        <f t="shared" ref="H32" si="15">K32+N32</f>
        <v>0</v>
      </c>
      <c r="I32" s="191"/>
      <c r="J32" s="191"/>
      <c r="K32" s="191"/>
      <c r="L32" s="73"/>
      <c r="M32" s="73"/>
      <c r="N32" s="73"/>
      <c r="O32" s="74"/>
    </row>
    <row r="33" spans="1:15" ht="14.25" customHeight="1" x14ac:dyDescent="0.25">
      <c r="A33" s="71" t="s">
        <v>467</v>
      </c>
      <c r="B33" s="71" t="s">
        <v>313</v>
      </c>
      <c r="C33" s="72" t="s">
        <v>314</v>
      </c>
      <c r="D33" s="72" t="s">
        <v>324</v>
      </c>
      <c r="E33" s="72" t="s">
        <v>339</v>
      </c>
      <c r="F33" s="73">
        <f t="shared" ref="F33" si="16">I33+L33</f>
        <v>0</v>
      </c>
      <c r="G33" s="73">
        <f t="shared" ref="G33" si="17">J33+M33</f>
        <v>0</v>
      </c>
      <c r="H33" s="73">
        <f t="shared" ref="H33" si="18">K33+N33</f>
        <v>0</v>
      </c>
      <c r="I33" s="191"/>
      <c r="J33" s="191"/>
      <c r="K33" s="191"/>
      <c r="L33" s="73"/>
      <c r="M33" s="73"/>
      <c r="N33" s="73"/>
      <c r="O33" s="74"/>
    </row>
    <row r="34" spans="1:15" ht="14.25" customHeight="1" x14ac:dyDescent="0.25">
      <c r="A34" s="71" t="s">
        <v>468</v>
      </c>
      <c r="B34" s="71" t="s">
        <v>313</v>
      </c>
      <c r="C34" s="72" t="s">
        <v>314</v>
      </c>
      <c r="D34" s="72" t="s">
        <v>324</v>
      </c>
      <c r="E34" s="72" t="s">
        <v>339</v>
      </c>
      <c r="F34" s="73">
        <f t="shared" ref="F34" si="19">I34+L34</f>
        <v>0</v>
      </c>
      <c r="G34" s="73">
        <f t="shared" ref="G34" si="20">J34+M34</f>
        <v>0</v>
      </c>
      <c r="H34" s="73">
        <f t="shared" ref="H34" si="21">K34+N34</f>
        <v>0</v>
      </c>
      <c r="I34" s="191"/>
      <c r="J34" s="191"/>
      <c r="K34" s="191"/>
      <c r="L34" s="73"/>
      <c r="M34" s="73"/>
      <c r="N34" s="73"/>
      <c r="O34" s="74"/>
    </row>
    <row r="35" spans="1:15" ht="14.25" customHeight="1" x14ac:dyDescent="0.25">
      <c r="A35" s="71" t="s">
        <v>353</v>
      </c>
      <c r="B35" s="71" t="s">
        <v>313</v>
      </c>
      <c r="C35" s="72" t="s">
        <v>314</v>
      </c>
      <c r="D35" s="72" t="s">
        <v>324</v>
      </c>
      <c r="E35" s="72" t="s">
        <v>339</v>
      </c>
      <c r="F35" s="73">
        <f t="shared" si="11"/>
        <v>0</v>
      </c>
      <c r="G35" s="73">
        <f t="shared" si="11"/>
        <v>0</v>
      </c>
      <c r="H35" s="73">
        <f t="shared" si="11"/>
        <v>0</v>
      </c>
      <c r="I35" s="191"/>
      <c r="J35" s="191"/>
      <c r="K35" s="191"/>
      <c r="L35" s="73"/>
      <c r="M35" s="73"/>
      <c r="N35" s="73"/>
      <c r="O35" s="74"/>
    </row>
    <row r="36" spans="1:15" ht="14.25" customHeight="1" x14ac:dyDescent="0.25">
      <c r="A36" s="71" t="s">
        <v>469</v>
      </c>
      <c r="B36" s="71" t="s">
        <v>313</v>
      </c>
      <c r="C36" s="72" t="s">
        <v>314</v>
      </c>
      <c r="D36" s="72" t="s">
        <v>324</v>
      </c>
      <c r="E36" s="72" t="s">
        <v>339</v>
      </c>
      <c r="F36" s="73">
        <f t="shared" ref="F36" si="22">I36+L36</f>
        <v>0</v>
      </c>
      <c r="G36" s="73">
        <f t="shared" ref="G36" si="23">J36+M36</f>
        <v>0</v>
      </c>
      <c r="H36" s="73">
        <f t="shared" ref="H36" si="24">K36+N36</f>
        <v>0</v>
      </c>
      <c r="I36" s="191"/>
      <c r="J36" s="191"/>
      <c r="K36" s="191"/>
      <c r="L36" s="73"/>
      <c r="M36" s="73"/>
      <c r="N36" s="73"/>
      <c r="O36" s="74"/>
    </row>
    <row r="37" spans="1:15" ht="14.25" customHeight="1" x14ac:dyDescent="0.25">
      <c r="A37" s="71" t="s">
        <v>354</v>
      </c>
      <c r="B37" s="71" t="s">
        <v>313</v>
      </c>
      <c r="C37" s="72" t="s">
        <v>314</v>
      </c>
      <c r="D37" s="72" t="s">
        <v>324</v>
      </c>
      <c r="E37" s="72" t="s">
        <v>339</v>
      </c>
      <c r="F37" s="73">
        <f t="shared" si="11"/>
        <v>0</v>
      </c>
      <c r="G37" s="73">
        <f t="shared" si="11"/>
        <v>0</v>
      </c>
      <c r="H37" s="73">
        <f t="shared" si="11"/>
        <v>0</v>
      </c>
      <c r="I37" s="191"/>
      <c r="J37" s="191"/>
      <c r="K37" s="191"/>
      <c r="L37" s="73"/>
      <c r="M37" s="73"/>
      <c r="N37" s="73"/>
      <c r="O37" s="74"/>
    </row>
    <row r="38" spans="1:15" ht="14.25" customHeight="1" x14ac:dyDescent="0.25">
      <c r="A38" s="71" t="s">
        <v>355</v>
      </c>
      <c r="B38" s="71" t="s">
        <v>313</v>
      </c>
      <c r="C38" s="72" t="s">
        <v>314</v>
      </c>
      <c r="D38" s="72" t="s">
        <v>324</v>
      </c>
      <c r="E38" s="72" t="s">
        <v>339</v>
      </c>
      <c r="F38" s="73">
        <f t="shared" si="11"/>
        <v>0</v>
      </c>
      <c r="G38" s="73">
        <f t="shared" si="11"/>
        <v>0</v>
      </c>
      <c r="H38" s="73">
        <f t="shared" si="11"/>
        <v>0</v>
      </c>
      <c r="I38" s="191"/>
      <c r="J38" s="191"/>
      <c r="K38" s="191"/>
      <c r="L38" s="73"/>
      <c r="M38" s="73"/>
      <c r="N38" s="73"/>
      <c r="O38" s="74"/>
    </row>
    <row r="39" spans="1:15" ht="14.25" customHeight="1" x14ac:dyDescent="0.25">
      <c r="A39" s="71" t="s">
        <v>356</v>
      </c>
      <c r="B39" s="71" t="s">
        <v>313</v>
      </c>
      <c r="C39" s="72" t="s">
        <v>314</v>
      </c>
      <c r="D39" s="72" t="s">
        <v>324</v>
      </c>
      <c r="E39" s="72" t="s">
        <v>339</v>
      </c>
      <c r="F39" s="73">
        <f t="shared" si="11"/>
        <v>69483</v>
      </c>
      <c r="G39" s="73">
        <f t="shared" si="11"/>
        <v>43493</v>
      </c>
      <c r="H39" s="73">
        <f t="shared" si="11"/>
        <v>43493</v>
      </c>
      <c r="I39" s="191">
        <f>43493+8947+10488+6555</f>
        <v>69483</v>
      </c>
      <c r="J39" s="191">
        <v>43493</v>
      </c>
      <c r="K39" s="191">
        <f>J39</f>
        <v>43493</v>
      </c>
      <c r="L39" s="73"/>
      <c r="M39" s="73"/>
      <c r="N39" s="73"/>
      <c r="O39" s="74"/>
    </row>
    <row r="40" spans="1:15" ht="14.25" customHeight="1" x14ac:dyDescent="0.25">
      <c r="A40" s="71" t="s">
        <v>472</v>
      </c>
      <c r="B40" s="71" t="s">
        <v>313</v>
      </c>
      <c r="C40" s="72" t="s">
        <v>314</v>
      </c>
      <c r="D40" s="72" t="s">
        <v>324</v>
      </c>
      <c r="E40" s="72" t="s">
        <v>339</v>
      </c>
      <c r="F40" s="73">
        <f t="shared" si="11"/>
        <v>0</v>
      </c>
      <c r="G40" s="73">
        <f t="shared" si="11"/>
        <v>0</v>
      </c>
      <c r="H40" s="73">
        <f t="shared" si="11"/>
        <v>0</v>
      </c>
      <c r="I40" s="191"/>
      <c r="J40" s="191"/>
      <c r="K40" s="191"/>
      <c r="L40" s="73"/>
      <c r="M40" s="73"/>
      <c r="N40" s="73"/>
      <c r="O40" s="74"/>
    </row>
    <row r="41" spans="1:15" ht="14.25" customHeight="1" x14ac:dyDescent="0.25">
      <c r="A41" s="71" t="s">
        <v>473</v>
      </c>
      <c r="B41" s="71" t="s">
        <v>313</v>
      </c>
      <c r="C41" s="72" t="s">
        <v>314</v>
      </c>
      <c r="D41" s="72" t="s">
        <v>324</v>
      </c>
      <c r="E41" s="72" t="s">
        <v>339</v>
      </c>
      <c r="F41" s="73">
        <f t="shared" ref="F41:F54" si="25">I41+L41</f>
        <v>0</v>
      </c>
      <c r="G41" s="73">
        <f t="shared" ref="G41:G54" si="26">J41+M41</f>
        <v>0</v>
      </c>
      <c r="H41" s="73">
        <f t="shared" ref="H41:H54" si="27">K41+N41</f>
        <v>0</v>
      </c>
      <c r="I41" s="191"/>
      <c r="J41" s="191"/>
      <c r="K41" s="191"/>
      <c r="L41" s="73"/>
      <c r="M41" s="73"/>
      <c r="N41" s="73"/>
      <c r="O41" s="74"/>
    </row>
    <row r="42" spans="1:15" ht="14.25" customHeight="1" x14ac:dyDescent="0.25">
      <c r="A42" s="71" t="s">
        <v>474</v>
      </c>
      <c r="B42" s="71" t="s">
        <v>313</v>
      </c>
      <c r="C42" s="72" t="s">
        <v>314</v>
      </c>
      <c r="D42" s="72" t="s">
        <v>324</v>
      </c>
      <c r="E42" s="72" t="s">
        <v>339</v>
      </c>
      <c r="F42" s="73">
        <f t="shared" si="25"/>
        <v>27600</v>
      </c>
      <c r="G42" s="73">
        <f t="shared" si="26"/>
        <v>16100</v>
      </c>
      <c r="H42" s="73">
        <f t="shared" si="27"/>
        <v>16100</v>
      </c>
      <c r="I42" s="191">
        <f>16100+4600+2300+4600</f>
        <v>27600</v>
      </c>
      <c r="J42" s="191">
        <v>16100</v>
      </c>
      <c r="K42" s="191">
        <f>J42</f>
        <v>16100</v>
      </c>
      <c r="L42" s="73"/>
      <c r="M42" s="73"/>
      <c r="N42" s="73"/>
      <c r="O42" s="74"/>
    </row>
    <row r="43" spans="1:15" ht="14.25" customHeight="1" x14ac:dyDescent="0.25">
      <c r="A43" s="71" t="s">
        <v>476</v>
      </c>
      <c r="B43" s="71" t="s">
        <v>313</v>
      </c>
      <c r="C43" s="72" t="s">
        <v>314</v>
      </c>
      <c r="D43" s="72" t="s">
        <v>324</v>
      </c>
      <c r="E43" s="72" t="s">
        <v>339</v>
      </c>
      <c r="F43" s="73">
        <f t="shared" si="25"/>
        <v>0</v>
      </c>
      <c r="G43" s="73">
        <f t="shared" si="26"/>
        <v>0</v>
      </c>
      <c r="H43" s="73">
        <f t="shared" si="27"/>
        <v>0</v>
      </c>
      <c r="I43" s="191"/>
      <c r="J43" s="191"/>
      <c r="K43" s="191"/>
      <c r="L43" s="73"/>
      <c r="M43" s="73"/>
      <c r="N43" s="73"/>
      <c r="O43" s="74"/>
    </row>
    <row r="44" spans="1:15" ht="14.25" customHeight="1" x14ac:dyDescent="0.25">
      <c r="A44" s="71" t="s">
        <v>497</v>
      </c>
      <c r="B44" s="71" t="s">
        <v>313</v>
      </c>
      <c r="C44" s="72" t="s">
        <v>314</v>
      </c>
      <c r="D44" s="72" t="s">
        <v>324</v>
      </c>
      <c r="E44" s="72" t="s">
        <v>339</v>
      </c>
      <c r="F44" s="73">
        <f t="shared" ref="F44" si="28">I44+L44</f>
        <v>0</v>
      </c>
      <c r="G44" s="73">
        <f t="shared" ref="G44" si="29">J44+M44</f>
        <v>0</v>
      </c>
      <c r="H44" s="73">
        <f t="shared" ref="H44" si="30">K44+N44</f>
        <v>0</v>
      </c>
      <c r="I44" s="191"/>
      <c r="J44" s="191"/>
      <c r="K44" s="191"/>
      <c r="L44" s="73"/>
      <c r="M44" s="73"/>
      <c r="N44" s="73"/>
      <c r="O44" s="74"/>
    </row>
    <row r="45" spans="1:15" ht="14.25" customHeight="1" x14ac:dyDescent="0.25">
      <c r="A45" s="71" t="s">
        <v>498</v>
      </c>
      <c r="B45" s="71" t="s">
        <v>313</v>
      </c>
      <c r="C45" s="72" t="s">
        <v>314</v>
      </c>
      <c r="D45" s="72" t="s">
        <v>324</v>
      </c>
      <c r="E45" s="72" t="s">
        <v>339</v>
      </c>
      <c r="F45" s="73">
        <f t="shared" ref="F45" si="31">I45+L45</f>
        <v>0</v>
      </c>
      <c r="G45" s="73">
        <f t="shared" ref="G45" si="32">J45+M45</f>
        <v>0</v>
      </c>
      <c r="H45" s="73">
        <f t="shared" ref="H45" si="33">K45+N45</f>
        <v>0</v>
      </c>
      <c r="I45" s="191"/>
      <c r="J45" s="191"/>
      <c r="K45" s="191"/>
      <c r="L45" s="73"/>
      <c r="M45" s="73"/>
      <c r="N45" s="73"/>
      <c r="O45" s="74"/>
    </row>
    <row r="46" spans="1:15" ht="14.25" customHeight="1" x14ac:dyDescent="0.25">
      <c r="A46" s="196" t="s">
        <v>514</v>
      </c>
      <c r="B46" s="71" t="s">
        <v>313</v>
      </c>
      <c r="C46" s="72" t="s">
        <v>314</v>
      </c>
      <c r="D46" s="72" t="s">
        <v>324</v>
      </c>
      <c r="E46" s="72" t="s">
        <v>339</v>
      </c>
      <c r="F46" s="73">
        <f t="shared" si="25"/>
        <v>0</v>
      </c>
      <c r="G46" s="73">
        <f t="shared" si="26"/>
        <v>0</v>
      </c>
      <c r="H46" s="73">
        <f t="shared" si="27"/>
        <v>0</v>
      </c>
      <c r="I46" s="191"/>
      <c r="J46" s="191"/>
      <c r="K46" s="191"/>
      <c r="L46" s="73"/>
      <c r="M46" s="73"/>
      <c r="N46" s="73"/>
      <c r="O46" s="74"/>
    </row>
    <row r="47" spans="1:15" ht="14.25" customHeight="1" x14ac:dyDescent="0.25">
      <c r="A47" s="196" t="s">
        <v>515</v>
      </c>
      <c r="B47" s="71" t="s">
        <v>313</v>
      </c>
      <c r="C47" s="72" t="s">
        <v>314</v>
      </c>
      <c r="D47" s="72" t="s">
        <v>324</v>
      </c>
      <c r="E47" s="72" t="s">
        <v>339</v>
      </c>
      <c r="F47" s="73">
        <f t="shared" si="25"/>
        <v>0</v>
      </c>
      <c r="G47" s="73">
        <f t="shared" si="26"/>
        <v>0</v>
      </c>
      <c r="H47" s="73">
        <f t="shared" si="27"/>
        <v>0</v>
      </c>
      <c r="I47" s="191"/>
      <c r="J47" s="191"/>
      <c r="K47" s="191"/>
      <c r="L47" s="73"/>
      <c r="M47" s="73"/>
      <c r="N47" s="73"/>
      <c r="O47" s="74"/>
    </row>
    <row r="48" spans="1:15" ht="14.25" customHeight="1" x14ac:dyDescent="0.25">
      <c r="A48" s="196" t="s">
        <v>516</v>
      </c>
      <c r="B48" s="71" t="s">
        <v>313</v>
      </c>
      <c r="C48" s="72" t="s">
        <v>314</v>
      </c>
      <c r="D48" s="72" t="s">
        <v>324</v>
      </c>
      <c r="E48" s="72" t="s">
        <v>339</v>
      </c>
      <c r="F48" s="73">
        <f t="shared" si="25"/>
        <v>0</v>
      </c>
      <c r="G48" s="73">
        <f t="shared" si="26"/>
        <v>0</v>
      </c>
      <c r="H48" s="73">
        <f t="shared" si="27"/>
        <v>0</v>
      </c>
      <c r="I48" s="191"/>
      <c r="J48" s="191"/>
      <c r="K48" s="191"/>
      <c r="L48" s="73"/>
      <c r="M48" s="73"/>
      <c r="N48" s="73"/>
      <c r="O48" s="74"/>
    </row>
    <row r="49" spans="1:15" ht="14.25" customHeight="1" x14ac:dyDescent="0.25">
      <c r="A49" s="196" t="s">
        <v>517</v>
      </c>
      <c r="B49" s="71" t="s">
        <v>313</v>
      </c>
      <c r="C49" s="72" t="s">
        <v>314</v>
      </c>
      <c r="D49" s="72" t="s">
        <v>324</v>
      </c>
      <c r="E49" s="72" t="s">
        <v>339</v>
      </c>
      <c r="F49" s="73">
        <f t="shared" si="25"/>
        <v>0</v>
      </c>
      <c r="G49" s="73">
        <f t="shared" si="26"/>
        <v>0</v>
      </c>
      <c r="H49" s="73">
        <f t="shared" si="27"/>
        <v>0</v>
      </c>
      <c r="I49" s="191"/>
      <c r="J49" s="191"/>
      <c r="K49" s="191"/>
      <c r="L49" s="73"/>
      <c r="M49" s="73"/>
      <c r="N49" s="73"/>
      <c r="O49" s="74"/>
    </row>
    <row r="50" spans="1:15" ht="14.25" customHeight="1" x14ac:dyDescent="0.25">
      <c r="A50" s="196" t="s">
        <v>518</v>
      </c>
      <c r="B50" s="71" t="s">
        <v>313</v>
      </c>
      <c r="C50" s="72" t="s">
        <v>314</v>
      </c>
      <c r="D50" s="72" t="s">
        <v>324</v>
      </c>
      <c r="E50" s="72" t="s">
        <v>339</v>
      </c>
      <c r="F50" s="73">
        <f t="shared" si="25"/>
        <v>0</v>
      </c>
      <c r="G50" s="73">
        <f t="shared" si="26"/>
        <v>0</v>
      </c>
      <c r="H50" s="73">
        <f t="shared" si="27"/>
        <v>0</v>
      </c>
      <c r="I50" s="191"/>
      <c r="J50" s="191"/>
      <c r="K50" s="191"/>
      <c r="L50" s="73"/>
      <c r="M50" s="73"/>
      <c r="N50" s="73"/>
      <c r="O50" s="74"/>
    </row>
    <row r="51" spans="1:15" ht="14.25" customHeight="1" x14ac:dyDescent="0.25">
      <c r="A51" s="196" t="s">
        <v>519</v>
      </c>
      <c r="B51" s="71" t="s">
        <v>313</v>
      </c>
      <c r="C51" s="72" t="s">
        <v>314</v>
      </c>
      <c r="D51" s="72" t="s">
        <v>324</v>
      </c>
      <c r="E51" s="72" t="s">
        <v>339</v>
      </c>
      <c r="F51" s="73">
        <f t="shared" si="25"/>
        <v>0</v>
      </c>
      <c r="G51" s="73">
        <f t="shared" si="26"/>
        <v>0</v>
      </c>
      <c r="H51" s="73">
        <f t="shared" si="27"/>
        <v>0</v>
      </c>
      <c r="I51" s="191"/>
      <c r="J51" s="191"/>
      <c r="K51" s="191"/>
      <c r="L51" s="73"/>
      <c r="M51" s="73"/>
      <c r="N51" s="73"/>
      <c r="O51" s="74"/>
    </row>
    <row r="52" spans="1:15" ht="14.25" customHeight="1" x14ac:dyDescent="0.25">
      <c r="A52" s="196" t="s">
        <v>627</v>
      </c>
      <c r="B52" s="71" t="s">
        <v>313</v>
      </c>
      <c r="C52" s="72" t="s">
        <v>314</v>
      </c>
      <c r="D52" s="72" t="s">
        <v>324</v>
      </c>
      <c r="E52" s="72" t="s">
        <v>339</v>
      </c>
      <c r="F52" s="73">
        <f t="shared" si="25"/>
        <v>0</v>
      </c>
      <c r="G52" s="73">
        <f t="shared" si="26"/>
        <v>0</v>
      </c>
      <c r="H52" s="73">
        <f t="shared" si="27"/>
        <v>0</v>
      </c>
      <c r="I52" s="191"/>
      <c r="J52" s="191"/>
      <c r="K52" s="191"/>
      <c r="L52" s="73"/>
      <c r="M52" s="73"/>
      <c r="N52" s="73"/>
      <c r="O52" s="74"/>
    </row>
    <row r="53" spans="1:15" ht="14.25" customHeight="1" x14ac:dyDescent="0.25">
      <c r="A53" s="71"/>
      <c r="B53" s="71" t="s">
        <v>313</v>
      </c>
      <c r="C53" s="72" t="s">
        <v>314</v>
      </c>
      <c r="D53" s="72" t="s">
        <v>324</v>
      </c>
      <c r="E53" s="72" t="s">
        <v>339</v>
      </c>
      <c r="F53" s="73">
        <f t="shared" si="25"/>
        <v>0</v>
      </c>
      <c r="G53" s="73">
        <f t="shared" si="26"/>
        <v>0</v>
      </c>
      <c r="H53" s="73">
        <f t="shared" si="27"/>
        <v>0</v>
      </c>
      <c r="I53" s="191"/>
      <c r="J53" s="191"/>
      <c r="K53" s="191"/>
      <c r="L53" s="73"/>
      <c r="M53" s="73"/>
      <c r="N53" s="73"/>
      <c r="O53" s="74"/>
    </row>
    <row r="54" spans="1:15" ht="14.25" customHeight="1" x14ac:dyDescent="0.25">
      <c r="A54" s="71"/>
      <c r="B54" s="71" t="s">
        <v>313</v>
      </c>
      <c r="C54" s="72" t="s">
        <v>314</v>
      </c>
      <c r="D54" s="72" t="s">
        <v>324</v>
      </c>
      <c r="E54" s="72" t="s">
        <v>339</v>
      </c>
      <c r="F54" s="73">
        <f t="shared" si="25"/>
        <v>0</v>
      </c>
      <c r="G54" s="73">
        <f t="shared" si="26"/>
        <v>0</v>
      </c>
      <c r="H54" s="73">
        <f t="shared" si="27"/>
        <v>0</v>
      </c>
      <c r="I54" s="191"/>
      <c r="J54" s="191"/>
      <c r="K54" s="191"/>
      <c r="L54" s="73"/>
      <c r="M54" s="73"/>
      <c r="N54" s="73"/>
      <c r="O54" s="74"/>
    </row>
    <row r="55" spans="1:15" ht="14.25" customHeight="1" x14ac:dyDescent="0.25">
      <c r="A55" s="71"/>
      <c r="B55" s="71" t="s">
        <v>313</v>
      </c>
      <c r="C55" s="72" t="s">
        <v>314</v>
      </c>
      <c r="D55" s="72" t="s">
        <v>324</v>
      </c>
      <c r="E55" s="72" t="s">
        <v>339</v>
      </c>
      <c r="F55" s="73">
        <f t="shared" ref="F55" si="34">I55+L55</f>
        <v>0</v>
      </c>
      <c r="G55" s="73">
        <f t="shared" ref="G55" si="35">J55+M55</f>
        <v>0</v>
      </c>
      <c r="H55" s="73">
        <f t="shared" ref="H55" si="36">K55+N55</f>
        <v>0</v>
      </c>
      <c r="I55" s="191"/>
      <c r="J55" s="191"/>
      <c r="K55" s="191"/>
      <c r="L55" s="73"/>
      <c r="M55" s="73"/>
      <c r="N55" s="73"/>
      <c r="O55" s="74"/>
    </row>
    <row r="56" spans="1:15" ht="14.25" customHeight="1" x14ac:dyDescent="0.25">
      <c r="A56" s="71" t="s">
        <v>357</v>
      </c>
      <c r="B56" s="71" t="s">
        <v>313</v>
      </c>
      <c r="C56" s="72" t="s">
        <v>314</v>
      </c>
      <c r="D56" s="72" t="s">
        <v>324</v>
      </c>
      <c r="E56" s="72" t="s">
        <v>339</v>
      </c>
      <c r="F56" s="73">
        <f>I56+L56</f>
        <v>0</v>
      </c>
      <c r="G56" s="73">
        <f t="shared" si="11"/>
        <v>0</v>
      </c>
      <c r="H56" s="73">
        <f t="shared" si="11"/>
        <v>0</v>
      </c>
      <c r="I56" s="191"/>
      <c r="J56" s="191"/>
      <c r="K56" s="191"/>
      <c r="L56" s="73"/>
      <c r="M56" s="73"/>
      <c r="N56" s="73"/>
      <c r="O56" s="74"/>
    </row>
    <row r="57" spans="1:15" s="58" customFormat="1" ht="14.25" customHeight="1" x14ac:dyDescent="0.2">
      <c r="A57" s="77" t="s">
        <v>479</v>
      </c>
      <c r="B57" s="77"/>
      <c r="C57" s="78"/>
      <c r="D57" s="78" t="s">
        <v>324</v>
      </c>
      <c r="E57" s="78" t="s">
        <v>339</v>
      </c>
      <c r="F57" s="79">
        <f>SUM(F58:F59)</f>
        <v>0</v>
      </c>
      <c r="G57" s="79">
        <f t="shared" ref="G57:N57" si="37">SUM(G58:G59)</f>
        <v>0</v>
      </c>
      <c r="H57" s="79">
        <f t="shared" si="37"/>
        <v>0</v>
      </c>
      <c r="I57" s="193">
        <f t="shared" si="37"/>
        <v>0</v>
      </c>
      <c r="J57" s="193">
        <f t="shared" si="37"/>
        <v>0</v>
      </c>
      <c r="K57" s="193">
        <f t="shared" si="37"/>
        <v>0</v>
      </c>
      <c r="L57" s="79">
        <f t="shared" si="37"/>
        <v>0</v>
      </c>
      <c r="M57" s="79">
        <f t="shared" si="37"/>
        <v>0</v>
      </c>
      <c r="N57" s="79">
        <f t="shared" si="37"/>
        <v>0</v>
      </c>
      <c r="O57" s="81"/>
    </row>
    <row r="58" spans="1:15" ht="30" x14ac:dyDescent="0.25">
      <c r="A58" s="71" t="s">
        <v>470</v>
      </c>
      <c r="B58" s="71"/>
      <c r="C58" s="72" t="s">
        <v>358</v>
      </c>
      <c r="D58" s="72" t="s">
        <v>324</v>
      </c>
      <c r="E58" s="72" t="s">
        <v>317</v>
      </c>
      <c r="F58" s="73">
        <f t="shared" ref="F58:H59" si="38">I58+L58</f>
        <v>0</v>
      </c>
      <c r="G58" s="73">
        <f t="shared" si="38"/>
        <v>0</v>
      </c>
      <c r="H58" s="73">
        <f t="shared" si="38"/>
        <v>0</v>
      </c>
      <c r="I58" s="191"/>
      <c r="J58" s="191"/>
      <c r="K58" s="191"/>
      <c r="L58" s="73"/>
      <c r="M58" s="73"/>
      <c r="N58" s="73"/>
      <c r="O58" s="74"/>
    </row>
    <row r="59" spans="1:15" x14ac:dyDescent="0.25">
      <c r="A59" s="71" t="s">
        <v>471</v>
      </c>
      <c r="B59" s="71"/>
      <c r="C59" s="72" t="s">
        <v>358</v>
      </c>
      <c r="D59" s="72" t="s">
        <v>324</v>
      </c>
      <c r="E59" s="72" t="s">
        <v>317</v>
      </c>
      <c r="F59" s="73">
        <f t="shared" si="38"/>
        <v>0</v>
      </c>
      <c r="G59" s="73">
        <f t="shared" si="38"/>
        <v>0</v>
      </c>
      <c r="H59" s="73">
        <f t="shared" si="38"/>
        <v>0</v>
      </c>
      <c r="I59" s="191"/>
      <c r="J59" s="191"/>
      <c r="K59" s="191"/>
      <c r="L59" s="73"/>
      <c r="M59" s="73"/>
      <c r="N59" s="73"/>
      <c r="O59" s="74"/>
    </row>
    <row r="60" spans="1:15" s="58" customFormat="1" ht="18" customHeight="1" x14ac:dyDescent="0.2">
      <c r="A60" s="77" t="s">
        <v>359</v>
      </c>
      <c r="B60" s="77"/>
      <c r="C60" s="78"/>
      <c r="D60" s="78" t="s">
        <v>324</v>
      </c>
      <c r="E60" s="78" t="s">
        <v>317</v>
      </c>
      <c r="F60" s="80">
        <f>SUM(F61:F82)</f>
        <v>138040</v>
      </c>
      <c r="G60" s="80">
        <f t="shared" ref="G60:N60" si="39">SUM(G61:G82)</f>
        <v>115700</v>
      </c>
      <c r="H60" s="80">
        <f t="shared" si="39"/>
        <v>115700</v>
      </c>
      <c r="I60" s="192">
        <f>SUM(I61:I82)</f>
        <v>138040</v>
      </c>
      <c r="J60" s="192">
        <f t="shared" si="39"/>
        <v>115700</v>
      </c>
      <c r="K60" s="192">
        <f t="shared" si="39"/>
        <v>115700</v>
      </c>
      <c r="L60" s="80">
        <f t="shared" si="39"/>
        <v>0</v>
      </c>
      <c r="M60" s="80">
        <f t="shared" si="39"/>
        <v>0</v>
      </c>
      <c r="N60" s="80">
        <f t="shared" si="39"/>
        <v>0</v>
      </c>
      <c r="O60" s="81"/>
    </row>
    <row r="61" spans="1:15" s="76" customFormat="1" x14ac:dyDescent="0.25">
      <c r="A61" s="71" t="s">
        <v>360</v>
      </c>
      <c r="B61" s="71"/>
      <c r="C61" s="72" t="s">
        <v>361</v>
      </c>
      <c r="D61" s="72" t="s">
        <v>324</v>
      </c>
      <c r="E61" s="72" t="s">
        <v>317</v>
      </c>
      <c r="F61" s="73">
        <f>I61+L61</f>
        <v>111250</v>
      </c>
      <c r="G61" s="73">
        <f>J61+M61</f>
        <v>115700</v>
      </c>
      <c r="H61" s="73">
        <f>K61+N61</f>
        <v>115700</v>
      </c>
      <c r="I61" s="191">
        <f>115700-4450</f>
        <v>111250</v>
      </c>
      <c r="J61" s="191">
        <v>115700</v>
      </c>
      <c r="K61" s="191">
        <f>J61</f>
        <v>115700</v>
      </c>
      <c r="L61" s="73"/>
      <c r="M61" s="73"/>
      <c r="N61" s="73"/>
      <c r="O61" s="74"/>
    </row>
    <row r="62" spans="1:15" ht="14.25" customHeight="1" x14ac:dyDescent="0.25">
      <c r="A62" s="71" t="s">
        <v>362</v>
      </c>
      <c r="B62" s="71" t="s">
        <v>313</v>
      </c>
      <c r="C62" s="72" t="s">
        <v>314</v>
      </c>
      <c r="D62" s="72" t="s">
        <v>324</v>
      </c>
      <c r="E62" s="72" t="s">
        <v>317</v>
      </c>
      <c r="F62" s="73">
        <f t="shared" si="11"/>
        <v>0</v>
      </c>
      <c r="G62" s="73">
        <f t="shared" si="11"/>
        <v>0</v>
      </c>
      <c r="H62" s="73">
        <f t="shared" si="11"/>
        <v>0</v>
      </c>
      <c r="I62" s="191"/>
      <c r="J62" s="191"/>
      <c r="K62" s="191"/>
      <c r="L62" s="73"/>
      <c r="M62" s="73"/>
      <c r="N62" s="73"/>
      <c r="O62" s="74"/>
    </row>
    <row r="63" spans="1:15" ht="14.25" customHeight="1" x14ac:dyDescent="0.25">
      <c r="A63" s="71" t="s">
        <v>363</v>
      </c>
      <c r="B63" s="71" t="s">
        <v>313</v>
      </c>
      <c r="C63" s="72" t="s">
        <v>314</v>
      </c>
      <c r="D63" s="72" t="s">
        <v>324</v>
      </c>
      <c r="E63" s="72" t="s">
        <v>317</v>
      </c>
      <c r="F63" s="73">
        <f t="shared" si="11"/>
        <v>0</v>
      </c>
      <c r="G63" s="73">
        <f t="shared" si="11"/>
        <v>0</v>
      </c>
      <c r="H63" s="73">
        <f t="shared" si="11"/>
        <v>0</v>
      </c>
      <c r="I63" s="191"/>
      <c r="J63" s="191"/>
      <c r="K63" s="191"/>
      <c r="L63" s="73"/>
      <c r="M63" s="73"/>
      <c r="N63" s="73"/>
      <c r="O63" s="74"/>
    </row>
    <row r="64" spans="1:15" ht="14.25" customHeight="1" x14ac:dyDescent="0.25">
      <c r="A64" s="71" t="s">
        <v>364</v>
      </c>
      <c r="B64" s="71" t="s">
        <v>313</v>
      </c>
      <c r="C64" s="72" t="s">
        <v>314</v>
      </c>
      <c r="D64" s="72" t="s">
        <v>324</v>
      </c>
      <c r="E64" s="72" t="s">
        <v>317</v>
      </c>
      <c r="F64" s="73">
        <f t="shared" si="11"/>
        <v>0</v>
      </c>
      <c r="G64" s="73">
        <f t="shared" si="11"/>
        <v>0</v>
      </c>
      <c r="H64" s="73">
        <f t="shared" si="11"/>
        <v>0</v>
      </c>
      <c r="I64" s="191"/>
      <c r="J64" s="191"/>
      <c r="K64" s="191"/>
      <c r="L64" s="73"/>
      <c r="M64" s="73"/>
      <c r="N64" s="73"/>
      <c r="O64" s="74"/>
    </row>
    <row r="65" spans="1:15" ht="14.25" customHeight="1" x14ac:dyDescent="0.25">
      <c r="A65" s="71" t="s">
        <v>365</v>
      </c>
      <c r="B65" s="71" t="s">
        <v>313</v>
      </c>
      <c r="C65" s="72" t="s">
        <v>314</v>
      </c>
      <c r="D65" s="72" t="s">
        <v>324</v>
      </c>
      <c r="E65" s="72" t="s">
        <v>317</v>
      </c>
      <c r="F65" s="73">
        <f t="shared" si="11"/>
        <v>0</v>
      </c>
      <c r="G65" s="73">
        <f t="shared" si="11"/>
        <v>0</v>
      </c>
      <c r="H65" s="73">
        <f t="shared" si="11"/>
        <v>0</v>
      </c>
      <c r="I65" s="191"/>
      <c r="J65" s="191"/>
      <c r="K65" s="191"/>
      <c r="L65" s="73"/>
      <c r="M65" s="73"/>
      <c r="N65" s="73"/>
      <c r="O65" s="74"/>
    </row>
    <row r="66" spans="1:15" ht="14.25" customHeight="1" x14ac:dyDescent="0.25">
      <c r="A66" s="71" t="s">
        <v>478</v>
      </c>
      <c r="B66" s="71" t="s">
        <v>313</v>
      </c>
      <c r="C66" s="72" t="s">
        <v>314</v>
      </c>
      <c r="D66" s="72" t="s">
        <v>324</v>
      </c>
      <c r="E66" s="72" t="s">
        <v>317</v>
      </c>
      <c r="F66" s="73">
        <f t="shared" si="11"/>
        <v>0</v>
      </c>
      <c r="G66" s="73">
        <f t="shared" si="11"/>
        <v>0</v>
      </c>
      <c r="H66" s="73">
        <f t="shared" si="11"/>
        <v>0</v>
      </c>
      <c r="I66" s="191"/>
      <c r="J66" s="191"/>
      <c r="K66" s="191"/>
      <c r="L66" s="73"/>
      <c r="M66" s="73"/>
      <c r="N66" s="73"/>
      <c r="O66" s="74"/>
    </row>
    <row r="67" spans="1:15" ht="14.25" customHeight="1" x14ac:dyDescent="0.25">
      <c r="A67" s="71" t="s">
        <v>367</v>
      </c>
      <c r="B67" s="71" t="s">
        <v>313</v>
      </c>
      <c r="C67" s="72" t="s">
        <v>314</v>
      </c>
      <c r="D67" s="72" t="s">
        <v>324</v>
      </c>
      <c r="E67" s="72" t="s">
        <v>317</v>
      </c>
      <c r="F67" s="73">
        <f t="shared" si="11"/>
        <v>0</v>
      </c>
      <c r="G67" s="73">
        <f t="shared" si="11"/>
        <v>0</v>
      </c>
      <c r="H67" s="73">
        <f t="shared" si="11"/>
        <v>0</v>
      </c>
      <c r="I67" s="191"/>
      <c r="J67" s="191"/>
      <c r="K67" s="191"/>
      <c r="L67" s="73"/>
      <c r="M67" s="73"/>
      <c r="N67" s="73"/>
      <c r="O67" s="74"/>
    </row>
    <row r="68" spans="1:15" ht="14.25" customHeight="1" x14ac:dyDescent="0.25">
      <c r="A68" s="71" t="s">
        <v>368</v>
      </c>
      <c r="B68" s="71" t="s">
        <v>313</v>
      </c>
      <c r="C68" s="72" t="s">
        <v>314</v>
      </c>
      <c r="D68" s="72" t="s">
        <v>324</v>
      </c>
      <c r="E68" s="72" t="s">
        <v>317</v>
      </c>
      <c r="F68" s="73">
        <f t="shared" si="11"/>
        <v>0</v>
      </c>
      <c r="G68" s="73">
        <f t="shared" si="11"/>
        <v>0</v>
      </c>
      <c r="H68" s="73">
        <f t="shared" si="11"/>
        <v>0</v>
      </c>
      <c r="I68" s="191"/>
      <c r="J68" s="191"/>
      <c r="K68" s="191"/>
      <c r="L68" s="73"/>
      <c r="M68" s="73"/>
      <c r="N68" s="73"/>
      <c r="O68" s="74"/>
    </row>
    <row r="69" spans="1:15" ht="14.25" customHeight="1" x14ac:dyDescent="0.25">
      <c r="A69" s="71" t="s">
        <v>477</v>
      </c>
      <c r="B69" s="71" t="s">
        <v>313</v>
      </c>
      <c r="C69" s="72" t="s">
        <v>314</v>
      </c>
      <c r="D69" s="72" t="s">
        <v>324</v>
      </c>
      <c r="E69" s="72" t="s">
        <v>317</v>
      </c>
      <c r="F69" s="73">
        <f>I69+L69</f>
        <v>0</v>
      </c>
      <c r="G69" s="73">
        <f>J69+M69</f>
        <v>0</v>
      </c>
      <c r="H69" s="73">
        <f t="shared" si="11"/>
        <v>0</v>
      </c>
      <c r="I69" s="191"/>
      <c r="J69" s="191"/>
      <c r="K69" s="191"/>
      <c r="L69" s="73"/>
      <c r="M69" s="73"/>
      <c r="N69" s="73"/>
      <c r="O69" s="74"/>
    </row>
    <row r="70" spans="1:15" ht="14.25" customHeight="1" x14ac:dyDescent="0.25">
      <c r="A70" s="196" t="s">
        <v>520</v>
      </c>
      <c r="B70" s="71" t="s">
        <v>313</v>
      </c>
      <c r="C70" s="72" t="s">
        <v>314</v>
      </c>
      <c r="D70" s="72" t="s">
        <v>324</v>
      </c>
      <c r="E70" s="72" t="s">
        <v>317</v>
      </c>
      <c r="F70" s="73">
        <f t="shared" ref="F70:F80" si="40">I70+L70</f>
        <v>0</v>
      </c>
      <c r="G70" s="73">
        <f t="shared" ref="G70:G80" si="41">J70+M70</f>
        <v>0</v>
      </c>
      <c r="H70" s="73">
        <f t="shared" si="11"/>
        <v>0</v>
      </c>
      <c r="I70" s="191"/>
      <c r="J70" s="191"/>
      <c r="K70" s="191"/>
      <c r="L70" s="73"/>
      <c r="M70" s="73"/>
      <c r="N70" s="73"/>
      <c r="O70" s="74"/>
    </row>
    <row r="71" spans="1:15" ht="14.25" customHeight="1" x14ac:dyDescent="0.25">
      <c r="A71" s="71" t="s">
        <v>521</v>
      </c>
      <c r="B71" s="71" t="s">
        <v>313</v>
      </c>
      <c r="C71" s="72" t="s">
        <v>314</v>
      </c>
      <c r="D71" s="72" t="s">
        <v>324</v>
      </c>
      <c r="E71" s="72" t="s">
        <v>317</v>
      </c>
      <c r="F71" s="73">
        <f t="shared" si="40"/>
        <v>26790</v>
      </c>
      <c r="G71" s="73">
        <f t="shared" si="41"/>
        <v>0</v>
      </c>
      <c r="H71" s="73">
        <f t="shared" si="11"/>
        <v>0</v>
      </c>
      <c r="I71" s="191">
        <v>26790</v>
      </c>
      <c r="J71" s="191"/>
      <c r="K71" s="191"/>
      <c r="L71" s="73"/>
      <c r="M71" s="73"/>
      <c r="N71" s="73"/>
      <c r="O71" s="74"/>
    </row>
    <row r="72" spans="1:15" ht="14.25" customHeight="1" x14ac:dyDescent="0.25">
      <c r="A72" s="71" t="s">
        <v>522</v>
      </c>
      <c r="B72" s="71" t="s">
        <v>313</v>
      </c>
      <c r="C72" s="72" t="s">
        <v>314</v>
      </c>
      <c r="D72" s="72" t="s">
        <v>324</v>
      </c>
      <c r="E72" s="72" t="s">
        <v>317</v>
      </c>
      <c r="F72" s="73">
        <f t="shared" si="40"/>
        <v>0</v>
      </c>
      <c r="G72" s="73">
        <f t="shared" si="41"/>
        <v>0</v>
      </c>
      <c r="H72" s="73">
        <f t="shared" si="11"/>
        <v>0</v>
      </c>
      <c r="I72" s="191"/>
      <c r="J72" s="191"/>
      <c r="K72" s="191"/>
      <c r="L72" s="73"/>
      <c r="M72" s="73"/>
      <c r="N72" s="73"/>
      <c r="O72" s="74"/>
    </row>
    <row r="73" spans="1:15" ht="14.25" customHeight="1" x14ac:dyDescent="0.25">
      <c r="A73" s="196" t="s">
        <v>523</v>
      </c>
      <c r="B73" s="71" t="s">
        <v>313</v>
      </c>
      <c r="C73" s="72" t="s">
        <v>314</v>
      </c>
      <c r="D73" s="72" t="s">
        <v>324</v>
      </c>
      <c r="E73" s="72" t="s">
        <v>317</v>
      </c>
      <c r="F73" s="73">
        <f t="shared" si="40"/>
        <v>0</v>
      </c>
      <c r="G73" s="73">
        <f t="shared" si="41"/>
        <v>0</v>
      </c>
      <c r="H73" s="73">
        <f t="shared" si="11"/>
        <v>0</v>
      </c>
      <c r="I73" s="191"/>
      <c r="J73" s="191"/>
      <c r="K73" s="191"/>
      <c r="L73" s="73"/>
      <c r="M73" s="73"/>
      <c r="N73" s="73"/>
      <c r="O73" s="74"/>
    </row>
    <row r="74" spans="1:15" ht="14.25" customHeight="1" x14ac:dyDescent="0.25">
      <c r="A74" s="196" t="s">
        <v>524</v>
      </c>
      <c r="B74" s="71" t="s">
        <v>313</v>
      </c>
      <c r="C74" s="72" t="s">
        <v>314</v>
      </c>
      <c r="D74" s="72" t="s">
        <v>324</v>
      </c>
      <c r="E74" s="72" t="s">
        <v>317</v>
      </c>
      <c r="F74" s="73">
        <f t="shared" si="40"/>
        <v>0</v>
      </c>
      <c r="G74" s="73">
        <f t="shared" si="41"/>
        <v>0</v>
      </c>
      <c r="H74" s="73">
        <f t="shared" si="11"/>
        <v>0</v>
      </c>
      <c r="I74" s="191"/>
      <c r="J74" s="191"/>
      <c r="K74" s="191"/>
      <c r="L74" s="73"/>
      <c r="M74" s="73"/>
      <c r="N74" s="73"/>
      <c r="O74" s="74"/>
    </row>
    <row r="75" spans="1:15" ht="14.25" customHeight="1" x14ac:dyDescent="0.25">
      <c r="A75" s="196" t="s">
        <v>525</v>
      </c>
      <c r="B75" s="71" t="s">
        <v>313</v>
      </c>
      <c r="C75" s="72" t="s">
        <v>314</v>
      </c>
      <c r="D75" s="72" t="s">
        <v>324</v>
      </c>
      <c r="E75" s="72" t="s">
        <v>317</v>
      </c>
      <c r="F75" s="73">
        <f t="shared" si="40"/>
        <v>0</v>
      </c>
      <c r="G75" s="73">
        <f t="shared" si="41"/>
        <v>0</v>
      </c>
      <c r="H75" s="73">
        <f t="shared" si="11"/>
        <v>0</v>
      </c>
      <c r="I75" s="191"/>
      <c r="J75" s="191"/>
      <c r="K75" s="191"/>
      <c r="L75" s="73"/>
      <c r="M75" s="73"/>
      <c r="N75" s="73"/>
      <c r="O75" s="74"/>
    </row>
    <row r="76" spans="1:15" ht="14.25" customHeight="1" x14ac:dyDescent="0.25">
      <c r="A76" s="196" t="s">
        <v>615</v>
      </c>
      <c r="B76" s="71" t="s">
        <v>313</v>
      </c>
      <c r="C76" s="72" t="s">
        <v>314</v>
      </c>
      <c r="D76" s="72" t="s">
        <v>324</v>
      </c>
      <c r="E76" s="72" t="s">
        <v>317</v>
      </c>
      <c r="F76" s="73">
        <f t="shared" si="40"/>
        <v>0</v>
      </c>
      <c r="G76" s="73">
        <f t="shared" si="41"/>
        <v>0</v>
      </c>
      <c r="H76" s="73">
        <f t="shared" si="11"/>
        <v>0</v>
      </c>
      <c r="I76" s="191"/>
      <c r="J76" s="191"/>
      <c r="K76" s="191"/>
      <c r="L76" s="73"/>
      <c r="M76" s="73"/>
      <c r="N76" s="73"/>
      <c r="O76" s="74"/>
    </row>
    <row r="77" spans="1:15" ht="14.25" customHeight="1" x14ac:dyDescent="0.25">
      <c r="A77" s="196" t="s">
        <v>629</v>
      </c>
      <c r="B77" s="71" t="s">
        <v>313</v>
      </c>
      <c r="C77" s="72" t="s">
        <v>314</v>
      </c>
      <c r="D77" s="72" t="s">
        <v>324</v>
      </c>
      <c r="E77" s="72" t="s">
        <v>317</v>
      </c>
      <c r="F77" s="73">
        <f t="shared" si="40"/>
        <v>0</v>
      </c>
      <c r="G77" s="73">
        <f t="shared" si="41"/>
        <v>0</v>
      </c>
      <c r="H77" s="73">
        <f t="shared" si="11"/>
        <v>0</v>
      </c>
      <c r="I77" s="191"/>
      <c r="J77" s="191"/>
      <c r="K77" s="191"/>
      <c r="L77" s="73"/>
      <c r="M77" s="73"/>
      <c r="N77" s="73"/>
      <c r="O77" s="74"/>
    </row>
    <row r="78" spans="1:15" ht="14.25" customHeight="1" x14ac:dyDescent="0.25">
      <c r="A78" s="196" t="s">
        <v>678</v>
      </c>
      <c r="B78" s="196" t="s">
        <v>313</v>
      </c>
      <c r="C78" s="197" t="s">
        <v>314</v>
      </c>
      <c r="D78" s="197" t="s">
        <v>324</v>
      </c>
      <c r="E78" s="197" t="s">
        <v>317</v>
      </c>
      <c r="F78" s="194">
        <f t="shared" si="40"/>
        <v>0</v>
      </c>
      <c r="G78" s="194">
        <f t="shared" si="41"/>
        <v>0</v>
      </c>
      <c r="H78" s="194">
        <f t="shared" si="11"/>
        <v>0</v>
      </c>
      <c r="I78" s="275"/>
      <c r="J78" s="191"/>
      <c r="K78" s="191"/>
      <c r="L78" s="73"/>
      <c r="M78" s="73"/>
      <c r="N78" s="73"/>
      <c r="O78" s="74"/>
    </row>
    <row r="79" spans="1:15" ht="14.25" customHeight="1" x14ac:dyDescent="0.25">
      <c r="A79" s="196" t="s">
        <v>679</v>
      </c>
      <c r="B79" s="71" t="s">
        <v>313</v>
      </c>
      <c r="C79" s="72" t="s">
        <v>314</v>
      </c>
      <c r="D79" s="72" t="s">
        <v>324</v>
      </c>
      <c r="E79" s="72" t="s">
        <v>317</v>
      </c>
      <c r="F79" s="73">
        <f t="shared" si="40"/>
        <v>0</v>
      </c>
      <c r="G79" s="73">
        <f t="shared" si="41"/>
        <v>0</v>
      </c>
      <c r="H79" s="73">
        <f t="shared" si="11"/>
        <v>0</v>
      </c>
      <c r="I79" s="191"/>
      <c r="J79" s="191"/>
      <c r="K79" s="191"/>
      <c r="L79" s="73"/>
      <c r="M79" s="73"/>
      <c r="N79" s="73"/>
      <c r="O79" s="74"/>
    </row>
    <row r="80" spans="1:15" ht="14.25" customHeight="1" x14ac:dyDescent="0.25">
      <c r="A80" s="71"/>
      <c r="B80" s="71" t="s">
        <v>313</v>
      </c>
      <c r="C80" s="72" t="s">
        <v>314</v>
      </c>
      <c r="D80" s="72" t="s">
        <v>324</v>
      </c>
      <c r="E80" s="72" t="s">
        <v>317</v>
      </c>
      <c r="F80" s="73">
        <f t="shared" si="40"/>
        <v>0</v>
      </c>
      <c r="G80" s="73">
        <f t="shared" si="41"/>
        <v>0</v>
      </c>
      <c r="H80" s="73">
        <f t="shared" si="11"/>
        <v>0</v>
      </c>
      <c r="I80" s="191"/>
      <c r="J80" s="191"/>
      <c r="K80" s="191"/>
      <c r="L80" s="73"/>
      <c r="M80" s="73"/>
      <c r="N80" s="73"/>
      <c r="O80" s="74"/>
    </row>
    <row r="81" spans="1:15" ht="14.25" customHeight="1" x14ac:dyDescent="0.25">
      <c r="A81" s="71"/>
      <c r="B81" s="71" t="s">
        <v>313</v>
      </c>
      <c r="C81" s="72" t="s">
        <v>314</v>
      </c>
      <c r="D81" s="72" t="s">
        <v>324</v>
      </c>
      <c r="E81" s="72" t="s">
        <v>317</v>
      </c>
      <c r="F81" s="73">
        <f t="shared" ref="F81" si="42">I81+L81</f>
        <v>0</v>
      </c>
      <c r="G81" s="73">
        <f t="shared" ref="G81" si="43">J81+M81</f>
        <v>0</v>
      </c>
      <c r="H81" s="73">
        <f t="shared" ref="H81" si="44">K81+N81</f>
        <v>0</v>
      </c>
      <c r="I81" s="191"/>
      <c r="J81" s="191"/>
      <c r="K81" s="191"/>
      <c r="L81" s="73"/>
      <c r="M81" s="73"/>
      <c r="N81" s="73"/>
      <c r="O81" s="74"/>
    </row>
    <row r="82" spans="1:15" ht="14.25" customHeight="1" x14ac:dyDescent="0.25">
      <c r="A82" s="71" t="s">
        <v>370</v>
      </c>
      <c r="B82" s="71" t="s">
        <v>313</v>
      </c>
      <c r="C82" s="72" t="s">
        <v>314</v>
      </c>
      <c r="D82" s="72" t="s">
        <v>324</v>
      </c>
      <c r="E82" s="72" t="s">
        <v>317</v>
      </c>
      <c r="F82" s="73">
        <f t="shared" si="11"/>
        <v>0</v>
      </c>
      <c r="G82" s="73">
        <f t="shared" si="11"/>
        <v>0</v>
      </c>
      <c r="H82" s="73">
        <f t="shared" si="11"/>
        <v>0</v>
      </c>
      <c r="I82" s="191"/>
      <c r="J82" s="191"/>
      <c r="K82" s="191"/>
      <c r="L82" s="73"/>
      <c r="M82" s="73"/>
      <c r="N82" s="73"/>
      <c r="O82" s="74"/>
    </row>
    <row r="83" spans="1:15" s="159" customFormat="1" ht="16.5" customHeight="1" x14ac:dyDescent="0.2">
      <c r="A83" s="150" t="s">
        <v>499</v>
      </c>
      <c r="B83" s="77" t="s">
        <v>313</v>
      </c>
      <c r="C83" s="78" t="s">
        <v>314</v>
      </c>
      <c r="D83" s="151" t="s">
        <v>324</v>
      </c>
      <c r="E83" s="78" t="s">
        <v>500</v>
      </c>
      <c r="F83" s="79">
        <f>F84</f>
        <v>0</v>
      </c>
      <c r="G83" s="79">
        <f t="shared" ref="G83:N83" si="45">G84</f>
        <v>0</v>
      </c>
      <c r="H83" s="79">
        <f t="shared" si="45"/>
        <v>0</v>
      </c>
      <c r="I83" s="193">
        <f t="shared" si="45"/>
        <v>0</v>
      </c>
      <c r="J83" s="193">
        <f t="shared" si="45"/>
        <v>0</v>
      </c>
      <c r="K83" s="193">
        <f t="shared" si="45"/>
        <v>0</v>
      </c>
      <c r="L83" s="79">
        <f t="shared" si="45"/>
        <v>0</v>
      </c>
      <c r="M83" s="79">
        <f t="shared" si="45"/>
        <v>0</v>
      </c>
      <c r="N83" s="79">
        <f t="shared" si="45"/>
        <v>0</v>
      </c>
      <c r="O83" s="158"/>
    </row>
    <row r="84" spans="1:15" s="76" customFormat="1" x14ac:dyDescent="0.25">
      <c r="A84" s="71" t="s">
        <v>501</v>
      </c>
      <c r="B84" s="71" t="s">
        <v>313</v>
      </c>
      <c r="C84" s="72" t="s">
        <v>314</v>
      </c>
      <c r="D84" s="72" t="s">
        <v>324</v>
      </c>
      <c r="E84" s="72" t="s">
        <v>500</v>
      </c>
      <c r="F84" s="73">
        <f t="shared" ref="F84" si="46">I84+L84</f>
        <v>0</v>
      </c>
      <c r="G84" s="73">
        <f t="shared" ref="G84" si="47">J84+M84</f>
        <v>0</v>
      </c>
      <c r="H84" s="73">
        <f t="shared" ref="H84" si="48">K84+N84</f>
        <v>0</v>
      </c>
      <c r="I84" s="191"/>
      <c r="J84" s="191"/>
      <c r="K84" s="191"/>
      <c r="L84" s="73"/>
      <c r="M84" s="73"/>
      <c r="N84" s="73"/>
      <c r="O84" s="75"/>
    </row>
    <row r="85" spans="1:15" x14ac:dyDescent="0.25">
      <c r="A85" s="77" t="s">
        <v>371</v>
      </c>
      <c r="B85" s="77" t="s">
        <v>313</v>
      </c>
      <c r="C85" s="78" t="s">
        <v>314</v>
      </c>
      <c r="D85" s="78" t="s">
        <v>372</v>
      </c>
      <c r="E85" s="78" t="s">
        <v>373</v>
      </c>
      <c r="F85" s="79">
        <f t="shared" si="11"/>
        <v>0</v>
      </c>
      <c r="G85" s="79">
        <f t="shared" si="11"/>
        <v>0</v>
      </c>
      <c r="H85" s="79">
        <f t="shared" si="11"/>
        <v>0</v>
      </c>
      <c r="I85" s="192"/>
      <c r="J85" s="192"/>
      <c r="K85" s="192"/>
      <c r="L85" s="79"/>
      <c r="M85" s="79"/>
      <c r="N85" s="79"/>
      <c r="O85" s="74"/>
    </row>
    <row r="86" spans="1:15" s="76" customFormat="1" x14ac:dyDescent="0.25">
      <c r="A86" s="196" t="s">
        <v>513</v>
      </c>
      <c r="B86" s="71" t="s">
        <v>313</v>
      </c>
      <c r="C86" s="72" t="s">
        <v>375</v>
      </c>
      <c r="D86" s="72" t="s">
        <v>376</v>
      </c>
      <c r="E86" s="72" t="s">
        <v>377</v>
      </c>
      <c r="F86" s="73">
        <f t="shared" ref="F86:H103" si="49">I86+L86</f>
        <v>0</v>
      </c>
      <c r="G86" s="73">
        <f t="shared" si="49"/>
        <v>0</v>
      </c>
      <c r="H86" s="73">
        <f t="shared" si="49"/>
        <v>0</v>
      </c>
      <c r="I86" s="191"/>
      <c r="J86" s="191"/>
      <c r="K86" s="191"/>
      <c r="L86" s="73"/>
      <c r="M86" s="73"/>
      <c r="N86" s="73"/>
      <c r="O86" s="75"/>
    </row>
    <row r="87" spans="1:15" s="76" customFormat="1" x14ac:dyDescent="0.25">
      <c r="A87" s="71" t="s">
        <v>378</v>
      </c>
      <c r="B87" s="71" t="s">
        <v>313</v>
      </c>
      <c r="C87" s="72" t="s">
        <v>314</v>
      </c>
      <c r="D87" s="72" t="s">
        <v>379</v>
      </c>
      <c r="E87" s="72" t="s">
        <v>628</v>
      </c>
      <c r="F87" s="73">
        <f t="shared" si="49"/>
        <v>0</v>
      </c>
      <c r="G87" s="73">
        <f t="shared" si="49"/>
        <v>0</v>
      </c>
      <c r="H87" s="73">
        <f t="shared" si="49"/>
        <v>0</v>
      </c>
      <c r="I87" s="291"/>
      <c r="J87" s="191"/>
      <c r="K87" s="191"/>
      <c r="L87" s="73"/>
      <c r="M87" s="73"/>
      <c r="N87" s="73"/>
      <c r="O87" s="75"/>
    </row>
    <row r="88" spans="1:15" ht="15" customHeight="1" x14ac:dyDescent="0.25">
      <c r="A88" s="71" t="s">
        <v>381</v>
      </c>
      <c r="B88" s="71"/>
      <c r="C88" s="72" t="s">
        <v>382</v>
      </c>
      <c r="D88" s="72" t="s">
        <v>383</v>
      </c>
      <c r="E88" s="72" t="s">
        <v>377</v>
      </c>
      <c r="F88" s="73">
        <f t="shared" si="49"/>
        <v>2033029</v>
      </c>
      <c r="G88" s="73">
        <f t="shared" si="49"/>
        <v>1031204</v>
      </c>
      <c r="H88" s="73">
        <f t="shared" si="49"/>
        <v>1031204</v>
      </c>
      <c r="I88" s="191">
        <f>1031204+494617+507208</f>
        <v>2033029</v>
      </c>
      <c r="J88" s="191">
        <v>1031204</v>
      </c>
      <c r="K88" s="191">
        <f>J88</f>
        <v>1031204</v>
      </c>
      <c r="L88" s="73"/>
      <c r="M88" s="73"/>
      <c r="N88" s="73"/>
      <c r="O88" s="74"/>
    </row>
    <row r="89" spans="1:15" x14ac:dyDescent="0.25">
      <c r="A89" s="71" t="s">
        <v>384</v>
      </c>
      <c r="B89" s="71"/>
      <c r="C89" s="72" t="s">
        <v>382</v>
      </c>
      <c r="D89" s="72" t="s">
        <v>383</v>
      </c>
      <c r="E89" s="72" t="s">
        <v>377</v>
      </c>
      <c r="F89" s="73">
        <f t="shared" si="49"/>
        <v>243928</v>
      </c>
      <c r="G89" s="73">
        <f t="shared" si="49"/>
        <v>264915</v>
      </c>
      <c r="H89" s="73">
        <f t="shared" si="49"/>
        <v>264915</v>
      </c>
      <c r="I89" s="191">
        <f>264915-58144+37157</f>
        <v>243928</v>
      </c>
      <c r="J89" s="191">
        <v>264915</v>
      </c>
      <c r="K89" s="191">
        <f>J89</f>
        <v>264915</v>
      </c>
      <c r="L89" s="73"/>
      <c r="M89" s="73"/>
      <c r="N89" s="73"/>
      <c r="O89" s="74"/>
    </row>
    <row r="90" spans="1:15" s="159" customFormat="1" ht="14.25" x14ac:dyDescent="0.2">
      <c r="A90" s="150" t="s">
        <v>385</v>
      </c>
      <c r="B90" s="77" t="s">
        <v>313</v>
      </c>
      <c r="C90" s="78" t="s">
        <v>314</v>
      </c>
      <c r="D90" s="151" t="s">
        <v>324</v>
      </c>
      <c r="E90" s="78" t="s">
        <v>386</v>
      </c>
      <c r="F90" s="79">
        <f t="shared" si="49"/>
        <v>0</v>
      </c>
      <c r="G90" s="79">
        <f t="shared" si="49"/>
        <v>0</v>
      </c>
      <c r="H90" s="79">
        <f t="shared" si="49"/>
        <v>0</v>
      </c>
      <c r="I90" s="192"/>
      <c r="J90" s="192"/>
      <c r="K90" s="192"/>
      <c r="L90" s="79"/>
      <c r="M90" s="79"/>
      <c r="N90" s="79"/>
      <c r="O90" s="158"/>
    </row>
    <row r="91" spans="1:15" s="58" customFormat="1" ht="28.5" x14ac:dyDescent="0.2">
      <c r="A91" s="77" t="s">
        <v>387</v>
      </c>
      <c r="B91" s="77"/>
      <c r="C91" s="78"/>
      <c r="D91" s="78" t="s">
        <v>324</v>
      </c>
      <c r="E91" s="78" t="s">
        <v>388</v>
      </c>
      <c r="F91" s="80">
        <f t="shared" ref="F91:N91" si="50">SUM(F92:F103)</f>
        <v>1413700</v>
      </c>
      <c r="G91" s="80">
        <f t="shared" si="50"/>
        <v>340456</v>
      </c>
      <c r="H91" s="80">
        <f t="shared" si="50"/>
        <v>340456</v>
      </c>
      <c r="I91" s="192">
        <f t="shared" si="50"/>
        <v>1413700</v>
      </c>
      <c r="J91" s="192">
        <f t="shared" si="50"/>
        <v>340456</v>
      </c>
      <c r="K91" s="192">
        <f t="shared" si="50"/>
        <v>340456</v>
      </c>
      <c r="L91" s="80">
        <f t="shared" si="50"/>
        <v>0</v>
      </c>
      <c r="M91" s="80">
        <f t="shared" si="50"/>
        <v>0</v>
      </c>
      <c r="N91" s="80">
        <f t="shared" si="50"/>
        <v>0</v>
      </c>
      <c r="O91" s="81"/>
    </row>
    <row r="92" spans="1:15" s="76" customFormat="1" ht="15" customHeight="1" x14ac:dyDescent="0.25">
      <c r="A92" s="82" t="s">
        <v>461</v>
      </c>
      <c r="B92" s="71" t="s">
        <v>313</v>
      </c>
      <c r="C92" s="72" t="s">
        <v>314</v>
      </c>
      <c r="D92" s="83" t="s">
        <v>324</v>
      </c>
      <c r="E92" s="72" t="s">
        <v>463</v>
      </c>
      <c r="F92" s="73">
        <f t="shared" ref="F92:F93" si="51">I92+L92</f>
        <v>0</v>
      </c>
      <c r="G92" s="73">
        <f t="shared" ref="G92:G93" si="52">J92+M92</f>
        <v>0</v>
      </c>
      <c r="H92" s="73">
        <f t="shared" ref="H92:H93" si="53">K92+N92</f>
        <v>0</v>
      </c>
      <c r="I92" s="191"/>
      <c r="J92" s="191"/>
      <c r="K92" s="191"/>
      <c r="L92" s="73"/>
      <c r="M92" s="73"/>
      <c r="N92" s="73"/>
      <c r="O92" s="75"/>
    </row>
    <row r="93" spans="1:15" s="76" customFormat="1" ht="15" customHeight="1" x14ac:dyDescent="0.25">
      <c r="A93" s="82" t="s">
        <v>505</v>
      </c>
      <c r="B93" s="71" t="s">
        <v>313</v>
      </c>
      <c r="C93" s="72" t="s">
        <v>314</v>
      </c>
      <c r="D93" s="83" t="s">
        <v>324</v>
      </c>
      <c r="E93" s="197" t="s">
        <v>464</v>
      </c>
      <c r="F93" s="73">
        <f t="shared" si="51"/>
        <v>0</v>
      </c>
      <c r="G93" s="73">
        <f t="shared" si="52"/>
        <v>0</v>
      </c>
      <c r="H93" s="73">
        <f t="shared" si="53"/>
        <v>0</v>
      </c>
      <c r="I93" s="191"/>
      <c r="J93" s="191"/>
      <c r="K93" s="191"/>
      <c r="L93" s="73"/>
      <c r="M93" s="73"/>
      <c r="N93" s="73"/>
      <c r="O93" s="75"/>
    </row>
    <row r="94" spans="1:15" s="76" customFormat="1" ht="15" customHeight="1" x14ac:dyDescent="0.25">
      <c r="A94" s="82" t="s">
        <v>459</v>
      </c>
      <c r="B94" s="71" t="s">
        <v>313</v>
      </c>
      <c r="C94" s="72" t="s">
        <v>705</v>
      </c>
      <c r="D94" s="83" t="s">
        <v>324</v>
      </c>
      <c r="E94" s="197" t="s">
        <v>464</v>
      </c>
      <c r="F94" s="73">
        <f t="shared" ref="F94" si="54">I94+L94</f>
        <v>1413700</v>
      </c>
      <c r="G94" s="73">
        <f t="shared" ref="G94" si="55">J94+M94</f>
        <v>340456</v>
      </c>
      <c r="H94" s="73">
        <f t="shared" ref="H94" si="56">K94+N94</f>
        <v>340456</v>
      </c>
      <c r="I94" s="191">
        <f>1191600+222100</f>
        <v>1413700</v>
      </c>
      <c r="J94" s="191">
        <v>340456</v>
      </c>
      <c r="K94" s="191">
        <f>J94</f>
        <v>340456</v>
      </c>
      <c r="L94" s="73"/>
      <c r="M94" s="73"/>
      <c r="N94" s="73"/>
      <c r="O94" s="75"/>
    </row>
    <row r="95" spans="1:15" s="76" customFormat="1" ht="15" customHeight="1" x14ac:dyDescent="0.25">
      <c r="A95" s="82" t="s">
        <v>389</v>
      </c>
      <c r="B95" s="71" t="s">
        <v>313</v>
      </c>
      <c r="C95" s="72" t="s">
        <v>314</v>
      </c>
      <c r="D95" s="83" t="s">
        <v>324</v>
      </c>
      <c r="E95" s="197" t="s">
        <v>390</v>
      </c>
      <c r="F95" s="73">
        <f t="shared" si="49"/>
        <v>0</v>
      </c>
      <c r="G95" s="73">
        <f t="shared" si="49"/>
        <v>0</v>
      </c>
      <c r="H95" s="73">
        <f t="shared" si="49"/>
        <v>0</v>
      </c>
      <c r="I95" s="191"/>
      <c r="J95" s="191"/>
      <c r="K95" s="191"/>
      <c r="L95" s="73"/>
      <c r="M95" s="73"/>
      <c r="N95" s="73"/>
      <c r="O95" s="75"/>
    </row>
    <row r="96" spans="1:15" s="76" customFormat="1" ht="15" customHeight="1" x14ac:dyDescent="0.25">
      <c r="A96" s="82" t="s">
        <v>480</v>
      </c>
      <c r="B96" s="71" t="s">
        <v>313</v>
      </c>
      <c r="C96" s="72" t="s">
        <v>314</v>
      </c>
      <c r="D96" s="83" t="s">
        <v>324</v>
      </c>
      <c r="E96" s="197" t="s">
        <v>509</v>
      </c>
      <c r="F96" s="73">
        <f t="shared" ref="F96" si="57">I96+L96</f>
        <v>0</v>
      </c>
      <c r="G96" s="73">
        <f t="shared" ref="G96" si="58">J96+M96</f>
        <v>0</v>
      </c>
      <c r="H96" s="73">
        <f t="shared" ref="H96" si="59">K96+N96</f>
        <v>0</v>
      </c>
      <c r="I96" s="191"/>
      <c r="J96" s="191"/>
      <c r="K96" s="191"/>
      <c r="L96" s="73"/>
      <c r="M96" s="73"/>
      <c r="N96" s="73"/>
      <c r="O96" s="75"/>
    </row>
    <row r="97" spans="1:16" s="76" customFormat="1" ht="15" customHeight="1" x14ac:dyDescent="0.25">
      <c r="A97" s="198" t="s">
        <v>510</v>
      </c>
      <c r="B97" s="71" t="s">
        <v>313</v>
      </c>
      <c r="C97" s="72" t="s">
        <v>314</v>
      </c>
      <c r="D97" s="83" t="s">
        <v>324</v>
      </c>
      <c r="E97" s="197" t="s">
        <v>481</v>
      </c>
      <c r="F97" s="73">
        <f t="shared" ref="F97" si="60">I97+L97</f>
        <v>0</v>
      </c>
      <c r="G97" s="73">
        <f t="shared" ref="G97" si="61">J97+M97</f>
        <v>0</v>
      </c>
      <c r="H97" s="73">
        <f t="shared" ref="H97" si="62">K97+N97</f>
        <v>0</v>
      </c>
      <c r="I97" s="191"/>
      <c r="J97" s="191"/>
      <c r="K97" s="191"/>
      <c r="L97" s="73"/>
      <c r="M97" s="73"/>
      <c r="N97" s="73"/>
      <c r="O97" s="75"/>
    </row>
    <row r="98" spans="1:16" s="76" customFormat="1" ht="15" customHeight="1" x14ac:dyDescent="0.25">
      <c r="A98" s="198" t="s">
        <v>508</v>
      </c>
      <c r="B98" s="71" t="s">
        <v>313</v>
      </c>
      <c r="C98" s="72" t="s">
        <v>314</v>
      </c>
      <c r="D98" s="83" t="s">
        <v>324</v>
      </c>
      <c r="E98" s="72" t="s">
        <v>392</v>
      </c>
      <c r="F98" s="73">
        <f t="shared" si="49"/>
        <v>0</v>
      </c>
      <c r="G98" s="73">
        <f t="shared" si="49"/>
        <v>0</v>
      </c>
      <c r="H98" s="73">
        <f t="shared" si="49"/>
        <v>0</v>
      </c>
      <c r="I98" s="191"/>
      <c r="J98" s="191"/>
      <c r="K98" s="191"/>
      <c r="L98" s="73"/>
      <c r="M98" s="73"/>
      <c r="N98" s="73"/>
      <c r="O98" s="75"/>
    </row>
    <row r="99" spans="1:16" s="76" customFormat="1" ht="15" customHeight="1" x14ac:dyDescent="0.25">
      <c r="A99" s="198" t="s">
        <v>511</v>
      </c>
      <c r="B99" s="71" t="s">
        <v>313</v>
      </c>
      <c r="C99" s="72" t="s">
        <v>314</v>
      </c>
      <c r="D99" s="83" t="s">
        <v>324</v>
      </c>
      <c r="E99" s="72" t="s">
        <v>392</v>
      </c>
      <c r="F99" s="73">
        <f t="shared" si="49"/>
        <v>0</v>
      </c>
      <c r="G99" s="73">
        <f t="shared" si="49"/>
        <v>0</v>
      </c>
      <c r="H99" s="73">
        <f t="shared" si="49"/>
        <v>0</v>
      </c>
      <c r="I99" s="191"/>
      <c r="J99" s="191"/>
      <c r="K99" s="191"/>
      <c r="L99" s="73"/>
      <c r="M99" s="73"/>
      <c r="N99" s="73"/>
      <c r="O99" s="75"/>
    </row>
    <row r="100" spans="1:16" s="76" customFormat="1" ht="15" customHeight="1" x14ac:dyDescent="0.25">
      <c r="A100" s="198" t="s">
        <v>506</v>
      </c>
      <c r="B100" s="71" t="s">
        <v>313</v>
      </c>
      <c r="C100" s="72" t="s">
        <v>314</v>
      </c>
      <c r="D100" s="83" t="s">
        <v>324</v>
      </c>
      <c r="E100" s="72" t="s">
        <v>392</v>
      </c>
      <c r="F100" s="73">
        <f t="shared" ref="F100" si="63">I100+L100</f>
        <v>0</v>
      </c>
      <c r="G100" s="73">
        <f t="shared" ref="G100" si="64">J100+M100</f>
        <v>0</v>
      </c>
      <c r="H100" s="73">
        <f t="shared" ref="H100" si="65">K100+N100</f>
        <v>0</v>
      </c>
      <c r="I100" s="191"/>
      <c r="J100" s="191"/>
      <c r="K100" s="191"/>
      <c r="L100" s="73"/>
      <c r="M100" s="73"/>
      <c r="N100" s="73"/>
      <c r="O100" s="75"/>
    </row>
    <row r="101" spans="1:16" s="76" customFormat="1" ht="15" customHeight="1" x14ac:dyDescent="0.25">
      <c r="A101" s="198" t="s">
        <v>507</v>
      </c>
      <c r="B101" s="71" t="s">
        <v>313</v>
      </c>
      <c r="C101" s="72" t="s">
        <v>314</v>
      </c>
      <c r="D101" s="83" t="s">
        <v>324</v>
      </c>
      <c r="E101" s="72" t="s">
        <v>392</v>
      </c>
      <c r="F101" s="73">
        <f t="shared" ref="F101" si="66">I101+L101</f>
        <v>0</v>
      </c>
      <c r="G101" s="73">
        <f t="shared" ref="G101" si="67">J101+M101</f>
        <v>0</v>
      </c>
      <c r="H101" s="73">
        <f t="shared" ref="H101" si="68">K101+N101</f>
        <v>0</v>
      </c>
      <c r="I101" s="191"/>
      <c r="J101" s="191"/>
      <c r="K101" s="191"/>
      <c r="L101" s="73"/>
      <c r="M101" s="73"/>
      <c r="N101" s="73"/>
      <c r="O101" s="75"/>
    </row>
    <row r="102" spans="1:16" s="76" customFormat="1" ht="15" customHeight="1" x14ac:dyDescent="0.25">
      <c r="A102" s="198" t="s">
        <v>512</v>
      </c>
      <c r="B102" s="71" t="s">
        <v>313</v>
      </c>
      <c r="C102" s="72" t="s">
        <v>314</v>
      </c>
      <c r="D102" s="83" t="s">
        <v>324</v>
      </c>
      <c r="E102" s="72" t="s">
        <v>392</v>
      </c>
      <c r="F102" s="73">
        <f t="shared" ref="F102" si="69">I102+L102</f>
        <v>0</v>
      </c>
      <c r="G102" s="73">
        <f t="shared" ref="G102" si="70">J102+M102</f>
        <v>0</v>
      </c>
      <c r="H102" s="73">
        <f t="shared" ref="H102" si="71">K102+N102</f>
        <v>0</v>
      </c>
      <c r="I102" s="191"/>
      <c r="J102" s="191"/>
      <c r="K102" s="191"/>
      <c r="L102" s="73"/>
      <c r="M102" s="73"/>
      <c r="N102" s="73"/>
      <c r="O102" s="75"/>
    </row>
    <row r="103" spans="1:16" s="76" customFormat="1" ht="15" customHeight="1" x14ac:dyDescent="0.25">
      <c r="A103" s="82" t="s">
        <v>482</v>
      </c>
      <c r="B103" s="71" t="s">
        <v>313</v>
      </c>
      <c r="C103" s="72" t="s">
        <v>314</v>
      </c>
      <c r="D103" s="83" t="s">
        <v>324</v>
      </c>
      <c r="E103" s="72" t="s">
        <v>392</v>
      </c>
      <c r="F103" s="73">
        <f>I103+L103</f>
        <v>0</v>
      </c>
      <c r="G103" s="73">
        <f t="shared" si="49"/>
        <v>0</v>
      </c>
      <c r="H103" s="73">
        <f t="shared" si="49"/>
        <v>0</v>
      </c>
      <c r="I103" s="191"/>
      <c r="J103" s="191"/>
      <c r="K103" s="191"/>
      <c r="L103" s="73"/>
      <c r="M103" s="73"/>
      <c r="N103" s="73"/>
      <c r="O103" s="75"/>
    </row>
    <row r="104" spans="1:16" s="58" customFormat="1" ht="14.25" x14ac:dyDescent="0.2">
      <c r="A104" s="157" t="s">
        <v>711</v>
      </c>
      <c r="B104" s="157"/>
      <c r="C104" s="287"/>
      <c r="D104" s="287"/>
      <c r="E104" s="287"/>
      <c r="F104" s="288">
        <f>SUM(F105:F110)</f>
        <v>1179689.22</v>
      </c>
      <c r="G104" s="288">
        <f>SUM(G105:G110)</f>
        <v>634225</v>
      </c>
      <c r="H104" s="288">
        <f>SUM(H105:H110)</f>
        <v>634225</v>
      </c>
      <c r="I104" s="288">
        <f>SUM(I105:I110)</f>
        <v>1179689.22</v>
      </c>
      <c r="J104" s="288">
        <f t="shared" ref="J104:K104" si="72">SUM(J105:J110)</f>
        <v>634225</v>
      </c>
      <c r="K104" s="288">
        <f t="shared" si="72"/>
        <v>634225</v>
      </c>
      <c r="L104" s="288">
        <f>SUM(L105:L110)</f>
        <v>0</v>
      </c>
      <c r="M104" s="288">
        <f>SUM(M105:M110)</f>
        <v>0</v>
      </c>
      <c r="N104" s="288">
        <f>SUM(N105:N110)</f>
        <v>0</v>
      </c>
      <c r="O104" s="70" t="s">
        <v>712</v>
      </c>
      <c r="P104" s="70" t="s">
        <v>395</v>
      </c>
    </row>
    <row r="105" spans="1:16" ht="15" customHeight="1" x14ac:dyDescent="0.25">
      <c r="A105" s="88" t="s">
        <v>396</v>
      </c>
      <c r="B105" s="89"/>
      <c r="C105" s="90" t="s">
        <v>703</v>
      </c>
      <c r="D105" s="90" t="s">
        <v>324</v>
      </c>
      <c r="E105" s="90" t="s">
        <v>339</v>
      </c>
      <c r="F105" s="73">
        <f t="shared" ref="F105:H110" si="73">I105+L105</f>
        <v>21811.08</v>
      </c>
      <c r="G105" s="73">
        <f t="shared" si="73"/>
        <v>12087</v>
      </c>
      <c r="H105" s="73">
        <f t="shared" si="73"/>
        <v>12087</v>
      </c>
      <c r="I105" s="194">
        <f>12723.13+3635.18+5452.77</f>
        <v>21811.08</v>
      </c>
      <c r="J105" s="194">
        <v>12087</v>
      </c>
      <c r="K105" s="194">
        <f>J105</f>
        <v>12087</v>
      </c>
      <c r="L105" s="73"/>
      <c r="M105" s="73"/>
      <c r="N105" s="73"/>
    </row>
    <row r="106" spans="1:16" ht="15" customHeight="1" x14ac:dyDescent="0.25">
      <c r="A106" s="88" t="s">
        <v>397</v>
      </c>
      <c r="B106" s="89"/>
      <c r="C106" s="90" t="s">
        <v>703</v>
      </c>
      <c r="D106" s="90" t="s">
        <v>324</v>
      </c>
      <c r="E106" s="90" t="s">
        <v>339</v>
      </c>
      <c r="F106" s="73">
        <f t="shared" si="73"/>
        <v>18000</v>
      </c>
      <c r="G106" s="73">
        <f t="shared" si="73"/>
        <v>9975</v>
      </c>
      <c r="H106" s="73">
        <f t="shared" si="73"/>
        <v>9975</v>
      </c>
      <c r="I106" s="194">
        <f>10500+3000+4500</f>
        <v>18000</v>
      </c>
      <c r="J106" s="194">
        <v>9975</v>
      </c>
      <c r="K106" s="194">
        <f t="shared" ref="K106:K109" si="74">J106</f>
        <v>9975</v>
      </c>
      <c r="L106" s="73"/>
      <c r="M106" s="73"/>
      <c r="N106" s="73"/>
    </row>
    <row r="107" spans="1:16" ht="15" hidden="1" customHeight="1" x14ac:dyDescent="0.25">
      <c r="A107" s="88" t="s">
        <v>398</v>
      </c>
      <c r="B107" s="89"/>
      <c r="C107" s="90" t="s">
        <v>341</v>
      </c>
      <c r="D107" s="90" t="s">
        <v>324</v>
      </c>
      <c r="E107" s="90" t="s">
        <v>339</v>
      </c>
      <c r="F107" s="73">
        <f t="shared" si="73"/>
        <v>0</v>
      </c>
      <c r="G107" s="73">
        <f t="shared" si="73"/>
        <v>0</v>
      </c>
      <c r="H107" s="73">
        <f t="shared" si="73"/>
        <v>0</v>
      </c>
      <c r="I107" s="194"/>
      <c r="J107" s="194"/>
      <c r="K107" s="194">
        <f t="shared" si="74"/>
        <v>0</v>
      </c>
      <c r="L107" s="73"/>
      <c r="M107" s="73"/>
      <c r="N107" s="73"/>
    </row>
    <row r="108" spans="1:16" x14ac:dyDescent="0.25">
      <c r="A108" s="88" t="s">
        <v>399</v>
      </c>
      <c r="B108" s="89"/>
      <c r="C108" s="90" t="s">
        <v>706</v>
      </c>
      <c r="D108" s="90" t="s">
        <v>324</v>
      </c>
      <c r="E108" s="90" t="s">
        <v>317</v>
      </c>
      <c r="F108" s="73">
        <f t="shared" si="73"/>
        <v>68518.14</v>
      </c>
      <c r="G108" s="73">
        <f t="shared" si="73"/>
        <v>37602</v>
      </c>
      <c r="H108" s="73">
        <f t="shared" si="73"/>
        <v>37602</v>
      </c>
      <c r="I108" s="194">
        <f>39583.64+5834.14+5739.66+8751.21+8609.49</f>
        <v>68518.14</v>
      </c>
      <c r="J108" s="194">
        <v>37602</v>
      </c>
      <c r="K108" s="194">
        <f t="shared" si="74"/>
        <v>37602</v>
      </c>
      <c r="L108" s="73"/>
      <c r="M108" s="73"/>
      <c r="N108" s="73"/>
    </row>
    <row r="109" spans="1:16" x14ac:dyDescent="0.25">
      <c r="A109" s="88" t="s">
        <v>400</v>
      </c>
      <c r="B109" s="89"/>
      <c r="C109" s="90" t="s">
        <v>341</v>
      </c>
      <c r="D109" s="90" t="s">
        <v>324</v>
      </c>
      <c r="E109" s="90" t="s">
        <v>317</v>
      </c>
      <c r="F109" s="73">
        <f t="shared" si="73"/>
        <v>1071360</v>
      </c>
      <c r="G109" s="73">
        <f t="shared" si="73"/>
        <v>574561</v>
      </c>
      <c r="H109" s="73">
        <f t="shared" si="73"/>
        <v>574561</v>
      </c>
      <c r="I109" s="194">
        <f>604800+190080+276480</f>
        <v>1071360</v>
      </c>
      <c r="J109" s="194">
        <v>574561</v>
      </c>
      <c r="K109" s="194">
        <f t="shared" si="74"/>
        <v>574561</v>
      </c>
      <c r="L109" s="73"/>
      <c r="M109" s="73"/>
      <c r="N109" s="73"/>
    </row>
    <row r="110" spans="1:16" x14ac:dyDescent="0.25">
      <c r="A110" s="88" t="s">
        <v>401</v>
      </c>
      <c r="B110" s="89"/>
      <c r="C110" s="90" t="s">
        <v>341</v>
      </c>
      <c r="D110" s="90" t="s">
        <v>324</v>
      </c>
      <c r="E110" s="90" t="s">
        <v>317</v>
      </c>
      <c r="F110" s="73">
        <f t="shared" si="73"/>
        <v>0</v>
      </c>
      <c r="G110" s="73">
        <f t="shared" si="73"/>
        <v>0</v>
      </c>
      <c r="H110" s="73">
        <f t="shared" si="73"/>
        <v>0</v>
      </c>
      <c r="I110" s="194"/>
      <c r="J110" s="194"/>
      <c r="K110" s="194"/>
      <c r="L110" s="73"/>
      <c r="M110" s="73"/>
      <c r="N110" s="73"/>
    </row>
    <row r="111" spans="1:16" s="58" customFormat="1" ht="14.25" x14ac:dyDescent="0.2">
      <c r="A111" s="157" t="s">
        <v>713</v>
      </c>
      <c r="B111" s="157"/>
      <c r="C111" s="287"/>
      <c r="D111" s="287"/>
      <c r="E111" s="287"/>
      <c r="F111" s="288">
        <f t="shared" ref="F111:N111" si="75">SUM(F112:F112)</f>
        <v>36000</v>
      </c>
      <c r="G111" s="288">
        <f t="shared" si="75"/>
        <v>21000</v>
      </c>
      <c r="H111" s="288">
        <f t="shared" si="75"/>
        <v>21000</v>
      </c>
      <c r="I111" s="288">
        <f t="shared" si="75"/>
        <v>36000</v>
      </c>
      <c r="J111" s="288">
        <f t="shared" si="75"/>
        <v>21000</v>
      </c>
      <c r="K111" s="288">
        <f t="shared" si="75"/>
        <v>21000</v>
      </c>
      <c r="L111" s="288">
        <f t="shared" si="75"/>
        <v>0</v>
      </c>
      <c r="M111" s="288">
        <f t="shared" si="75"/>
        <v>0</v>
      </c>
      <c r="N111" s="288">
        <f t="shared" si="75"/>
        <v>0</v>
      </c>
      <c r="O111" s="70" t="s">
        <v>714</v>
      </c>
      <c r="P111" s="70" t="s">
        <v>402</v>
      </c>
    </row>
    <row r="112" spans="1:16" x14ac:dyDescent="0.25">
      <c r="A112" s="91" t="s">
        <v>403</v>
      </c>
      <c r="B112" s="92"/>
      <c r="C112" s="90" t="s">
        <v>314</v>
      </c>
      <c r="D112" s="90" t="s">
        <v>324</v>
      </c>
      <c r="E112" s="90" t="s">
        <v>339</v>
      </c>
      <c r="F112" s="73">
        <f t="shared" ref="F112:H112" si="76">I112+L112</f>
        <v>36000</v>
      </c>
      <c r="G112" s="73">
        <f t="shared" si="76"/>
        <v>21000</v>
      </c>
      <c r="H112" s="73">
        <f t="shared" si="76"/>
        <v>21000</v>
      </c>
      <c r="I112" s="194">
        <f>21000+6000+3000+6000</f>
        <v>36000</v>
      </c>
      <c r="J112" s="194">
        <v>21000</v>
      </c>
      <c r="K112" s="194">
        <f>J112</f>
        <v>21000</v>
      </c>
      <c r="L112" s="73"/>
      <c r="M112" s="73"/>
      <c r="N112" s="73"/>
    </row>
    <row r="113" spans="1:16" s="58" customFormat="1" ht="14.25" x14ac:dyDescent="0.2">
      <c r="A113" s="157" t="s">
        <v>715</v>
      </c>
      <c r="B113" s="157"/>
      <c r="C113" s="287"/>
      <c r="D113" s="287"/>
      <c r="E113" s="287"/>
      <c r="F113" s="288">
        <f>F114+F115+F116+F117+F118+F119+F120+F122+F128+F137+F145</f>
        <v>33259520.449999999</v>
      </c>
      <c r="G113" s="288">
        <f t="shared" ref="G113:N113" si="77">G114+G115+G116+G117+G118+G119+G120+G122+G128+G137+G145</f>
        <v>23032500</v>
      </c>
      <c r="H113" s="288">
        <f t="shared" si="77"/>
        <v>23032500</v>
      </c>
      <c r="I113" s="288">
        <f t="shared" si="77"/>
        <v>31082100</v>
      </c>
      <c r="J113" s="288">
        <f t="shared" si="77"/>
        <v>23032500</v>
      </c>
      <c r="K113" s="288">
        <f t="shared" si="77"/>
        <v>23032500</v>
      </c>
      <c r="L113" s="288">
        <f t="shared" si="77"/>
        <v>2177420.4500000002</v>
      </c>
      <c r="M113" s="288">
        <f t="shared" si="77"/>
        <v>0</v>
      </c>
      <c r="N113" s="288">
        <f t="shared" si="77"/>
        <v>0</v>
      </c>
      <c r="O113" s="70" t="s">
        <v>716</v>
      </c>
      <c r="P113" s="70" t="s">
        <v>504</v>
      </c>
    </row>
    <row r="114" spans="1:16" x14ac:dyDescent="0.25">
      <c r="A114" s="71" t="s">
        <v>306</v>
      </c>
      <c r="B114" s="71"/>
      <c r="C114" s="72" t="s">
        <v>307</v>
      </c>
      <c r="D114" s="72" t="s">
        <v>308</v>
      </c>
      <c r="E114" s="72" t="s">
        <v>309</v>
      </c>
      <c r="F114" s="73">
        <f>I114+L114</f>
        <v>25054924.25</v>
      </c>
      <c r="G114" s="73">
        <f t="shared" ref="G114" si="78">J114+M114</f>
        <v>17601500</v>
      </c>
      <c r="H114" s="73">
        <f t="shared" ref="H114" si="79">K114+N114</f>
        <v>17601500</v>
      </c>
      <c r="I114" s="300">
        <f>17601500-I115+5397000+774700</f>
        <v>23693200</v>
      </c>
      <c r="J114" s="191">
        <v>17601500</v>
      </c>
      <c r="K114" s="191">
        <f>J114</f>
        <v>17601500</v>
      </c>
      <c r="L114" s="194">
        <v>1361724.25</v>
      </c>
      <c r="M114" s="73"/>
      <c r="N114" s="73"/>
      <c r="P114" s="63" t="s">
        <v>612</v>
      </c>
    </row>
    <row r="115" spans="1:16" x14ac:dyDescent="0.25">
      <c r="A115" s="71" t="s">
        <v>310</v>
      </c>
      <c r="B115" s="71"/>
      <c r="C115" s="72" t="s">
        <v>307</v>
      </c>
      <c r="D115" s="72" t="s">
        <v>308</v>
      </c>
      <c r="E115" s="72" t="s">
        <v>311</v>
      </c>
      <c r="F115" s="73">
        <f>I115+L115</f>
        <v>80000</v>
      </c>
      <c r="G115" s="73"/>
      <c r="H115" s="73"/>
      <c r="I115" s="191">
        <v>80000</v>
      </c>
      <c r="J115" s="191"/>
      <c r="K115" s="191"/>
      <c r="L115" s="194"/>
      <c r="M115" s="73"/>
      <c r="N115" s="73"/>
    </row>
    <row r="116" spans="1:16" s="76" customFormat="1" x14ac:dyDescent="0.25">
      <c r="A116" s="71" t="s">
        <v>312</v>
      </c>
      <c r="B116" s="71" t="s">
        <v>313</v>
      </c>
      <c r="C116" s="72" t="s">
        <v>314</v>
      </c>
      <c r="D116" s="72" t="s">
        <v>315</v>
      </c>
      <c r="E116" s="72" t="s">
        <v>311</v>
      </c>
      <c r="F116" s="73">
        <f t="shared" ref="F116:F119" si="80">I116+L116</f>
        <v>0</v>
      </c>
      <c r="G116" s="73">
        <f t="shared" ref="G116:G119" si="81">J116+M116</f>
        <v>0</v>
      </c>
      <c r="H116" s="73">
        <f t="shared" ref="H116:H119" si="82">K116+N116</f>
        <v>0</v>
      </c>
      <c r="I116" s="191"/>
      <c r="J116" s="191"/>
      <c r="K116" s="191"/>
      <c r="L116" s="194"/>
      <c r="M116" s="73"/>
      <c r="N116" s="73"/>
      <c r="O116" s="75"/>
    </row>
    <row r="117" spans="1:16" s="76" customFormat="1" x14ac:dyDescent="0.25">
      <c r="A117" s="71" t="s">
        <v>316</v>
      </c>
      <c r="B117" s="71" t="s">
        <v>313</v>
      </c>
      <c r="C117" s="72" t="s">
        <v>314</v>
      </c>
      <c r="D117" s="72" t="s">
        <v>315</v>
      </c>
      <c r="E117" s="72" t="s">
        <v>317</v>
      </c>
      <c r="F117" s="73">
        <f t="shared" si="80"/>
        <v>0</v>
      </c>
      <c r="G117" s="73">
        <f t="shared" si="81"/>
        <v>0</v>
      </c>
      <c r="H117" s="73">
        <f t="shared" si="82"/>
        <v>0</v>
      </c>
      <c r="I117" s="191"/>
      <c r="J117" s="191"/>
      <c r="K117" s="191"/>
      <c r="L117" s="194"/>
      <c r="M117" s="73"/>
      <c r="N117" s="73"/>
      <c r="O117" s="75"/>
    </row>
    <row r="118" spans="1:16" s="76" customFormat="1" x14ac:dyDescent="0.25">
      <c r="A118" s="71" t="s">
        <v>318</v>
      </c>
      <c r="B118" s="71" t="s">
        <v>313</v>
      </c>
      <c r="C118" s="72" t="s">
        <v>314</v>
      </c>
      <c r="D118" s="72" t="s">
        <v>315</v>
      </c>
      <c r="E118" s="72" t="s">
        <v>311</v>
      </c>
      <c r="F118" s="73">
        <f t="shared" si="80"/>
        <v>0</v>
      </c>
      <c r="G118" s="73">
        <f t="shared" si="81"/>
        <v>0</v>
      </c>
      <c r="H118" s="73">
        <f t="shared" si="82"/>
        <v>0</v>
      </c>
      <c r="I118" s="191"/>
      <c r="J118" s="191"/>
      <c r="K118" s="191"/>
      <c r="L118" s="194"/>
      <c r="M118" s="73"/>
      <c r="N118" s="73"/>
      <c r="O118" s="75"/>
    </row>
    <row r="119" spans="1:16" x14ac:dyDescent="0.25">
      <c r="A119" s="71" t="s">
        <v>319</v>
      </c>
      <c r="B119" s="71"/>
      <c r="C119" s="72" t="s">
        <v>320</v>
      </c>
      <c r="D119" s="72" t="s">
        <v>321</v>
      </c>
      <c r="E119" s="72" t="s">
        <v>322</v>
      </c>
      <c r="F119" s="73">
        <f t="shared" si="80"/>
        <v>7995196.2000000002</v>
      </c>
      <c r="G119" s="73">
        <f t="shared" si="81"/>
        <v>5315600</v>
      </c>
      <c r="H119" s="73">
        <f t="shared" si="82"/>
        <v>5315600</v>
      </c>
      <c r="I119" s="300">
        <f>5315600+1630000+233900</f>
        <v>7179500</v>
      </c>
      <c r="J119" s="191">
        <v>5315600</v>
      </c>
      <c r="K119" s="191">
        <f>J119</f>
        <v>5315600</v>
      </c>
      <c r="L119" s="194">
        <v>815696.2</v>
      </c>
      <c r="M119" s="73"/>
      <c r="N119" s="73"/>
    </row>
    <row r="120" spans="1:16" s="58" customFormat="1" ht="14.25" x14ac:dyDescent="0.2">
      <c r="A120" s="77" t="s">
        <v>323</v>
      </c>
      <c r="B120" s="77"/>
      <c r="C120" s="78"/>
      <c r="D120" s="78" t="s">
        <v>324</v>
      </c>
      <c r="E120" s="78" t="s">
        <v>325</v>
      </c>
      <c r="F120" s="79">
        <f t="shared" ref="F120:N120" si="83">SUM(F121:F121)</f>
        <v>0</v>
      </c>
      <c r="G120" s="79">
        <f t="shared" si="83"/>
        <v>0</v>
      </c>
      <c r="H120" s="79">
        <f t="shared" si="83"/>
        <v>0</v>
      </c>
      <c r="I120" s="192">
        <f t="shared" si="83"/>
        <v>0</v>
      </c>
      <c r="J120" s="192">
        <f t="shared" si="83"/>
        <v>0</v>
      </c>
      <c r="K120" s="192">
        <f t="shared" si="83"/>
        <v>0</v>
      </c>
      <c r="L120" s="193">
        <f t="shared" si="83"/>
        <v>0</v>
      </c>
      <c r="M120" s="79">
        <f t="shared" si="83"/>
        <v>0</v>
      </c>
      <c r="N120" s="79">
        <f t="shared" si="83"/>
        <v>0</v>
      </c>
    </row>
    <row r="121" spans="1:16" ht="30" x14ac:dyDescent="0.25">
      <c r="A121" s="71" t="s">
        <v>483</v>
      </c>
      <c r="B121" s="71"/>
      <c r="C121" s="72" t="s">
        <v>327</v>
      </c>
      <c r="D121" s="72" t="s">
        <v>324</v>
      </c>
      <c r="E121" s="72" t="s">
        <v>325</v>
      </c>
      <c r="F121" s="73">
        <f t="shared" ref="F121" si="84">I121+L121</f>
        <v>0</v>
      </c>
      <c r="G121" s="73">
        <f t="shared" ref="G121" si="85">J121+M121</f>
        <v>0</v>
      </c>
      <c r="H121" s="73">
        <f t="shared" ref="H121" si="86">K121+N121</f>
        <v>0</v>
      </c>
      <c r="I121" s="191"/>
      <c r="J121" s="191"/>
      <c r="K121" s="191"/>
      <c r="L121" s="73"/>
      <c r="M121" s="73"/>
      <c r="N121" s="73"/>
      <c r="O121" s="74"/>
    </row>
    <row r="122" spans="1:16" s="58" customFormat="1" ht="18" customHeight="1" x14ac:dyDescent="0.2">
      <c r="A122" s="77" t="s">
        <v>338</v>
      </c>
      <c r="B122" s="77"/>
      <c r="C122" s="78"/>
      <c r="D122" s="78" t="s">
        <v>324</v>
      </c>
      <c r="E122" s="78" t="s">
        <v>339</v>
      </c>
      <c r="F122" s="80">
        <f>SUM(F123:F127)</f>
        <v>0</v>
      </c>
      <c r="G122" s="80">
        <f t="shared" ref="G122:N122" si="87">SUM(G123:G127)</f>
        <v>0</v>
      </c>
      <c r="H122" s="80">
        <f t="shared" si="87"/>
        <v>0</v>
      </c>
      <c r="I122" s="192">
        <f t="shared" si="87"/>
        <v>0</v>
      </c>
      <c r="J122" s="192">
        <f t="shared" si="87"/>
        <v>0</v>
      </c>
      <c r="K122" s="192">
        <f t="shared" si="87"/>
        <v>0</v>
      </c>
      <c r="L122" s="80">
        <f t="shared" si="87"/>
        <v>0</v>
      </c>
      <c r="M122" s="80">
        <f t="shared" si="87"/>
        <v>0</v>
      </c>
      <c r="N122" s="80">
        <f t="shared" si="87"/>
        <v>0</v>
      </c>
      <c r="O122" s="81"/>
    </row>
    <row r="123" spans="1:16" x14ac:dyDescent="0.25">
      <c r="A123" s="71" t="s">
        <v>484</v>
      </c>
      <c r="B123" s="92"/>
      <c r="C123" s="72" t="s">
        <v>314</v>
      </c>
      <c r="D123" s="83" t="s">
        <v>324</v>
      </c>
      <c r="E123" s="90" t="s">
        <v>339</v>
      </c>
      <c r="F123" s="73">
        <f t="shared" ref="F123:H158" si="88">I123+L123</f>
        <v>0</v>
      </c>
      <c r="G123" s="73">
        <f t="shared" si="88"/>
        <v>0</v>
      </c>
      <c r="H123" s="73">
        <f t="shared" si="88"/>
        <v>0</v>
      </c>
      <c r="I123" s="194"/>
      <c r="J123" s="194"/>
      <c r="K123" s="194"/>
      <c r="L123" s="73"/>
      <c r="M123" s="73"/>
      <c r="N123" s="73"/>
    </row>
    <row r="124" spans="1:16" x14ac:dyDescent="0.25">
      <c r="A124" s="71"/>
      <c r="B124" s="92"/>
      <c r="C124" s="72" t="s">
        <v>314</v>
      </c>
      <c r="D124" s="83" t="s">
        <v>324</v>
      </c>
      <c r="E124" s="90" t="s">
        <v>339</v>
      </c>
      <c r="F124" s="73">
        <f t="shared" ref="F124" si="89">I124+L124</f>
        <v>0</v>
      </c>
      <c r="G124" s="73">
        <f t="shared" ref="G124" si="90">J124+M124</f>
        <v>0</v>
      </c>
      <c r="H124" s="73">
        <f t="shared" ref="H124" si="91">K124+N124</f>
        <v>0</v>
      </c>
      <c r="I124" s="194"/>
      <c r="J124" s="194"/>
      <c r="K124" s="194"/>
      <c r="L124" s="73"/>
      <c r="M124" s="73"/>
      <c r="N124" s="73"/>
    </row>
    <row r="125" spans="1:16" x14ac:dyDescent="0.25">
      <c r="A125" s="71"/>
      <c r="B125" s="92"/>
      <c r="C125" s="72" t="s">
        <v>314</v>
      </c>
      <c r="D125" s="83" t="s">
        <v>324</v>
      </c>
      <c r="E125" s="90" t="s">
        <v>339</v>
      </c>
      <c r="F125" s="73">
        <f t="shared" ref="F125:F127" si="92">I125+L125</f>
        <v>0</v>
      </c>
      <c r="G125" s="73">
        <f t="shared" ref="G125:G127" si="93">J125+M125</f>
        <v>0</v>
      </c>
      <c r="H125" s="73">
        <f t="shared" ref="H125:H127" si="94">K125+N125</f>
        <v>0</v>
      </c>
      <c r="I125" s="194"/>
      <c r="J125" s="194"/>
      <c r="K125" s="194"/>
      <c r="L125" s="73"/>
      <c r="M125" s="73"/>
      <c r="N125" s="73"/>
    </row>
    <row r="126" spans="1:16" x14ac:dyDescent="0.25">
      <c r="A126" s="71"/>
      <c r="B126" s="92"/>
      <c r="C126" s="72" t="s">
        <v>314</v>
      </c>
      <c r="D126" s="83" t="s">
        <v>324</v>
      </c>
      <c r="E126" s="90" t="s">
        <v>339</v>
      </c>
      <c r="F126" s="73">
        <f t="shared" si="92"/>
        <v>0</v>
      </c>
      <c r="G126" s="73">
        <f t="shared" si="93"/>
        <v>0</v>
      </c>
      <c r="H126" s="73">
        <f t="shared" si="94"/>
        <v>0</v>
      </c>
      <c r="I126" s="194"/>
      <c r="J126" s="194"/>
      <c r="K126" s="194"/>
      <c r="L126" s="73"/>
      <c r="M126" s="73"/>
      <c r="N126" s="73"/>
    </row>
    <row r="127" spans="1:16" x14ac:dyDescent="0.25">
      <c r="A127" s="71"/>
      <c r="B127" s="92"/>
      <c r="C127" s="72" t="s">
        <v>314</v>
      </c>
      <c r="D127" s="83" t="s">
        <v>324</v>
      </c>
      <c r="E127" s="90" t="s">
        <v>339</v>
      </c>
      <c r="F127" s="73">
        <f t="shared" si="92"/>
        <v>0</v>
      </c>
      <c r="G127" s="73">
        <f t="shared" si="93"/>
        <v>0</v>
      </c>
      <c r="H127" s="73">
        <f t="shared" si="94"/>
        <v>0</v>
      </c>
      <c r="I127" s="194"/>
      <c r="J127" s="194"/>
      <c r="K127" s="194"/>
      <c r="L127" s="73"/>
      <c r="M127" s="73"/>
      <c r="N127" s="73"/>
    </row>
    <row r="128" spans="1:16" s="58" customFormat="1" ht="18" customHeight="1" x14ac:dyDescent="0.2">
      <c r="A128" s="77" t="s">
        <v>359</v>
      </c>
      <c r="B128" s="77"/>
      <c r="C128" s="78" t="s">
        <v>314</v>
      </c>
      <c r="D128" s="78" t="s">
        <v>324</v>
      </c>
      <c r="E128" s="78" t="s">
        <v>317</v>
      </c>
      <c r="F128" s="80">
        <f>SUM(F129:F136)</f>
        <v>34480</v>
      </c>
      <c r="G128" s="80">
        <f t="shared" ref="G128:N128" si="95">SUM(G129:G136)</f>
        <v>31180</v>
      </c>
      <c r="H128" s="80">
        <f t="shared" si="95"/>
        <v>31180</v>
      </c>
      <c r="I128" s="192">
        <f t="shared" si="95"/>
        <v>34480</v>
      </c>
      <c r="J128" s="192">
        <f t="shared" si="95"/>
        <v>31180</v>
      </c>
      <c r="K128" s="192">
        <f t="shared" si="95"/>
        <v>31180</v>
      </c>
      <c r="L128" s="80">
        <f t="shared" si="95"/>
        <v>0</v>
      </c>
      <c r="M128" s="80">
        <f t="shared" si="95"/>
        <v>0</v>
      </c>
      <c r="N128" s="80">
        <f t="shared" si="95"/>
        <v>0</v>
      </c>
      <c r="O128" s="81"/>
    </row>
    <row r="129" spans="1:15" x14ac:dyDescent="0.25">
      <c r="A129" s="71" t="s">
        <v>485</v>
      </c>
      <c r="B129" s="92"/>
      <c r="C129" s="72" t="s">
        <v>314</v>
      </c>
      <c r="D129" s="83" t="s">
        <v>324</v>
      </c>
      <c r="E129" s="90" t="s">
        <v>317</v>
      </c>
      <c r="F129" s="73">
        <f t="shared" ref="F129:F138" si="96">I129+L129</f>
        <v>7680</v>
      </c>
      <c r="G129" s="73">
        <f t="shared" ref="G129:G138" si="97">J129+M129</f>
        <v>7680</v>
      </c>
      <c r="H129" s="73">
        <f t="shared" ref="H129:H136" si="98">K129+N129</f>
        <v>7680</v>
      </c>
      <c r="I129" s="194">
        <v>7680</v>
      </c>
      <c r="J129" s="194">
        <v>7680</v>
      </c>
      <c r="K129" s="194">
        <f>J129</f>
        <v>7680</v>
      </c>
      <c r="L129" s="73"/>
      <c r="M129" s="73"/>
      <c r="N129" s="73"/>
    </row>
    <row r="130" spans="1:15" x14ac:dyDescent="0.25">
      <c r="A130" s="71" t="s">
        <v>486</v>
      </c>
      <c r="B130" s="92"/>
      <c r="C130" s="72" t="s">
        <v>314</v>
      </c>
      <c r="D130" s="83" t="s">
        <v>324</v>
      </c>
      <c r="E130" s="90" t="s">
        <v>317</v>
      </c>
      <c r="F130" s="73">
        <f t="shared" si="96"/>
        <v>2500</v>
      </c>
      <c r="G130" s="73">
        <f t="shared" si="97"/>
        <v>2500</v>
      </c>
      <c r="H130" s="73">
        <f t="shared" si="98"/>
        <v>2500</v>
      </c>
      <c r="I130" s="194">
        <v>2500</v>
      </c>
      <c r="J130" s="194">
        <v>2500</v>
      </c>
      <c r="K130" s="194">
        <f t="shared" ref="K130:K134" si="99">J130</f>
        <v>2500</v>
      </c>
      <c r="L130" s="73"/>
      <c r="M130" s="73"/>
      <c r="N130" s="73"/>
    </row>
    <row r="131" spans="1:15" x14ac:dyDescent="0.25">
      <c r="A131" s="71" t="s">
        <v>487</v>
      </c>
      <c r="B131" s="92"/>
      <c r="C131" s="72" t="s">
        <v>314</v>
      </c>
      <c r="D131" s="83" t="s">
        <v>324</v>
      </c>
      <c r="E131" s="90" t="s">
        <v>317</v>
      </c>
      <c r="F131" s="73">
        <f t="shared" si="96"/>
        <v>0</v>
      </c>
      <c r="G131" s="73">
        <f t="shared" si="97"/>
        <v>0</v>
      </c>
      <c r="H131" s="73">
        <f t="shared" si="98"/>
        <v>0</v>
      </c>
      <c r="I131" s="194"/>
      <c r="J131" s="194"/>
      <c r="K131" s="194"/>
      <c r="L131" s="73"/>
      <c r="M131" s="73"/>
      <c r="N131" s="73"/>
    </row>
    <row r="132" spans="1:15" x14ac:dyDescent="0.25">
      <c r="A132" s="71" t="s">
        <v>488</v>
      </c>
      <c r="B132" s="92"/>
      <c r="C132" s="72" t="s">
        <v>314</v>
      </c>
      <c r="D132" s="83" t="s">
        <v>324</v>
      </c>
      <c r="E132" s="90" t="s">
        <v>317</v>
      </c>
      <c r="F132" s="73">
        <f t="shared" si="96"/>
        <v>0</v>
      </c>
      <c r="G132" s="73">
        <f t="shared" si="97"/>
        <v>0</v>
      </c>
      <c r="H132" s="73">
        <f t="shared" si="98"/>
        <v>0</v>
      </c>
      <c r="I132" s="194"/>
      <c r="J132" s="194"/>
      <c r="K132" s="194"/>
      <c r="L132" s="73"/>
      <c r="M132" s="73"/>
      <c r="N132" s="73"/>
    </row>
    <row r="133" spans="1:15" x14ac:dyDescent="0.25">
      <c r="A133" s="71" t="s">
        <v>489</v>
      </c>
      <c r="B133" s="92"/>
      <c r="C133" s="72" t="s">
        <v>314</v>
      </c>
      <c r="D133" s="83" t="s">
        <v>324</v>
      </c>
      <c r="E133" s="90" t="s">
        <v>317</v>
      </c>
      <c r="F133" s="73">
        <f t="shared" si="96"/>
        <v>0</v>
      </c>
      <c r="G133" s="73">
        <f t="shared" si="97"/>
        <v>0</v>
      </c>
      <c r="H133" s="73">
        <f t="shared" si="98"/>
        <v>0</v>
      </c>
      <c r="I133" s="194"/>
      <c r="J133" s="194"/>
      <c r="K133" s="194"/>
      <c r="L133" s="73"/>
      <c r="M133" s="73"/>
      <c r="N133" s="73"/>
    </row>
    <row r="134" spans="1:15" x14ac:dyDescent="0.25">
      <c r="A134" s="71" t="s">
        <v>496</v>
      </c>
      <c r="B134" s="92"/>
      <c r="C134" s="72" t="s">
        <v>314</v>
      </c>
      <c r="D134" s="83" t="s">
        <v>324</v>
      </c>
      <c r="E134" s="90" t="s">
        <v>317</v>
      </c>
      <c r="F134" s="73">
        <f t="shared" si="96"/>
        <v>24300</v>
      </c>
      <c r="G134" s="73">
        <f t="shared" si="97"/>
        <v>21000</v>
      </c>
      <c r="H134" s="73">
        <f t="shared" si="98"/>
        <v>21000</v>
      </c>
      <c r="I134" s="194">
        <f>21000+3300</f>
        <v>24300</v>
      </c>
      <c r="J134" s="194">
        <v>21000</v>
      </c>
      <c r="K134" s="194">
        <f t="shared" si="99"/>
        <v>21000</v>
      </c>
      <c r="L134" s="73"/>
      <c r="M134" s="73"/>
      <c r="N134" s="73"/>
    </row>
    <row r="135" spans="1:15" x14ac:dyDescent="0.25">
      <c r="A135" s="71" t="s">
        <v>630</v>
      </c>
      <c r="B135" s="92"/>
      <c r="C135" s="72" t="s">
        <v>314</v>
      </c>
      <c r="D135" s="83" t="s">
        <v>324</v>
      </c>
      <c r="E135" s="90" t="s">
        <v>317</v>
      </c>
      <c r="F135" s="73">
        <f t="shared" si="96"/>
        <v>0</v>
      </c>
      <c r="G135" s="73">
        <f t="shared" si="97"/>
        <v>0</v>
      </c>
      <c r="H135" s="73">
        <f t="shared" si="98"/>
        <v>0</v>
      </c>
      <c r="I135" s="194"/>
      <c r="J135" s="194"/>
      <c r="K135" s="194"/>
      <c r="L135" s="73"/>
      <c r="M135" s="73"/>
      <c r="N135" s="73"/>
    </row>
    <row r="136" spans="1:15" x14ac:dyDescent="0.25">
      <c r="A136" s="71"/>
      <c r="B136" s="92"/>
      <c r="C136" s="72" t="s">
        <v>314</v>
      </c>
      <c r="D136" s="83" t="s">
        <v>324</v>
      </c>
      <c r="E136" s="90" t="s">
        <v>317</v>
      </c>
      <c r="F136" s="73">
        <f t="shared" si="96"/>
        <v>0</v>
      </c>
      <c r="G136" s="73">
        <f t="shared" si="97"/>
        <v>0</v>
      </c>
      <c r="H136" s="73">
        <f t="shared" si="98"/>
        <v>0</v>
      </c>
      <c r="I136" s="194"/>
      <c r="J136" s="194"/>
      <c r="K136" s="194"/>
      <c r="L136" s="73"/>
      <c r="M136" s="73"/>
      <c r="N136" s="73"/>
    </row>
    <row r="137" spans="1:15" s="159" customFormat="1" ht="14.25" x14ac:dyDescent="0.2">
      <c r="A137" s="150" t="s">
        <v>385</v>
      </c>
      <c r="B137" s="77" t="s">
        <v>313</v>
      </c>
      <c r="C137" s="78" t="s">
        <v>314</v>
      </c>
      <c r="D137" s="151" t="s">
        <v>324</v>
      </c>
      <c r="E137" s="78" t="s">
        <v>386</v>
      </c>
      <c r="F137" s="79">
        <f>I137</f>
        <v>94920</v>
      </c>
      <c r="G137" s="79">
        <f t="shared" ref="G137" si="100">J137</f>
        <v>84220</v>
      </c>
      <c r="H137" s="79">
        <f>K137</f>
        <v>84220</v>
      </c>
      <c r="I137" s="193">
        <f>SUM(I138:I144)</f>
        <v>94920</v>
      </c>
      <c r="J137" s="193">
        <f t="shared" ref="J137:K137" si="101">SUM(J138:J144)</f>
        <v>84220</v>
      </c>
      <c r="K137" s="193">
        <f t="shared" si="101"/>
        <v>84220</v>
      </c>
      <c r="L137" s="79">
        <f t="shared" ref="L137:N137" si="102">SUM(L138:L144)</f>
        <v>0</v>
      </c>
      <c r="M137" s="79">
        <f t="shared" si="102"/>
        <v>0</v>
      </c>
      <c r="N137" s="79">
        <f t="shared" si="102"/>
        <v>0</v>
      </c>
      <c r="O137" s="158"/>
    </row>
    <row r="138" spans="1:15" s="76" customFormat="1" ht="15" customHeight="1" x14ac:dyDescent="0.25">
      <c r="A138" s="82" t="s">
        <v>493</v>
      </c>
      <c r="B138" s="71" t="s">
        <v>313</v>
      </c>
      <c r="C138" s="72" t="s">
        <v>314</v>
      </c>
      <c r="D138" s="83" t="s">
        <v>324</v>
      </c>
      <c r="E138" s="72" t="s">
        <v>386</v>
      </c>
      <c r="F138" s="73">
        <f t="shared" si="96"/>
        <v>0</v>
      </c>
      <c r="G138" s="73">
        <f t="shared" si="97"/>
        <v>0</v>
      </c>
      <c r="H138" s="73">
        <f>K138+N138</f>
        <v>0</v>
      </c>
      <c r="I138" s="191"/>
      <c r="J138" s="191"/>
      <c r="K138" s="191"/>
      <c r="L138" s="73"/>
      <c r="M138" s="73"/>
      <c r="N138" s="73"/>
      <c r="O138" s="75"/>
    </row>
    <row r="139" spans="1:15" s="76" customFormat="1" ht="15" customHeight="1" x14ac:dyDescent="0.25">
      <c r="A139" s="82" t="s">
        <v>494</v>
      </c>
      <c r="B139" s="71" t="s">
        <v>313</v>
      </c>
      <c r="C139" s="72" t="s">
        <v>314</v>
      </c>
      <c r="D139" s="83" t="s">
        <v>324</v>
      </c>
      <c r="E139" s="72" t="s">
        <v>386</v>
      </c>
      <c r="F139" s="73">
        <f t="shared" ref="F139" si="103">I139+L139</f>
        <v>0</v>
      </c>
      <c r="G139" s="73">
        <f t="shared" ref="G139" si="104">J139+M139</f>
        <v>0</v>
      </c>
      <c r="H139" s="73">
        <f t="shared" ref="H139" si="105">K139+N139</f>
        <v>0</v>
      </c>
      <c r="I139" s="191"/>
      <c r="J139" s="191"/>
      <c r="K139" s="191"/>
      <c r="L139" s="73"/>
      <c r="M139" s="73"/>
      <c r="N139" s="73"/>
      <c r="O139" s="75"/>
    </row>
    <row r="140" spans="1:15" s="76" customFormat="1" ht="15" customHeight="1" x14ac:dyDescent="0.25">
      <c r="A140" s="82" t="s">
        <v>682</v>
      </c>
      <c r="B140" s="71" t="s">
        <v>313</v>
      </c>
      <c r="C140" s="72" t="s">
        <v>314</v>
      </c>
      <c r="D140" s="83" t="s">
        <v>324</v>
      </c>
      <c r="E140" s="72" t="s">
        <v>386</v>
      </c>
      <c r="F140" s="73">
        <f t="shared" ref="F140:F141" si="106">I140+L140</f>
        <v>0</v>
      </c>
      <c r="G140" s="73">
        <f t="shared" ref="G140:G141" si="107">J140+M140</f>
        <v>0</v>
      </c>
      <c r="H140" s="73">
        <f t="shared" ref="H140:H141" si="108">K140+N140</f>
        <v>0</v>
      </c>
      <c r="I140" s="191"/>
      <c r="J140" s="191"/>
      <c r="K140" s="191"/>
      <c r="L140" s="73"/>
      <c r="M140" s="73"/>
      <c r="N140" s="73"/>
      <c r="O140" s="75"/>
    </row>
    <row r="141" spans="1:15" s="76" customFormat="1" ht="15" customHeight="1" x14ac:dyDescent="0.25">
      <c r="A141" s="82" t="s">
        <v>683</v>
      </c>
      <c r="B141" s="71" t="s">
        <v>313</v>
      </c>
      <c r="C141" s="72" t="s">
        <v>314</v>
      </c>
      <c r="D141" s="83" t="s">
        <v>324</v>
      </c>
      <c r="E141" s="72" t="s">
        <v>386</v>
      </c>
      <c r="F141" s="73">
        <f t="shared" si="106"/>
        <v>0</v>
      </c>
      <c r="G141" s="73">
        <f t="shared" si="107"/>
        <v>0</v>
      </c>
      <c r="H141" s="73">
        <f t="shared" si="108"/>
        <v>0</v>
      </c>
      <c r="I141" s="191"/>
      <c r="J141" s="191"/>
      <c r="K141" s="191"/>
      <c r="L141" s="73"/>
      <c r="M141" s="73"/>
      <c r="N141" s="73"/>
      <c r="O141" s="75"/>
    </row>
    <row r="142" spans="1:15" s="76" customFormat="1" ht="15" customHeight="1" x14ac:dyDescent="0.25">
      <c r="A142" s="82" t="s">
        <v>495</v>
      </c>
      <c r="B142" s="71" t="s">
        <v>313</v>
      </c>
      <c r="C142" s="72" t="s">
        <v>314</v>
      </c>
      <c r="D142" s="83" t="s">
        <v>324</v>
      </c>
      <c r="E142" s="72" t="s">
        <v>386</v>
      </c>
      <c r="F142" s="73">
        <f t="shared" ref="F142" si="109">I142+L142</f>
        <v>10700</v>
      </c>
      <c r="G142" s="73">
        <f t="shared" ref="G142" si="110">J142+M142</f>
        <v>0</v>
      </c>
      <c r="H142" s="73">
        <f>K142+N142</f>
        <v>0</v>
      </c>
      <c r="I142" s="191">
        <v>10700</v>
      </c>
      <c r="J142" s="191"/>
      <c r="K142" s="191"/>
      <c r="L142" s="73"/>
      <c r="M142" s="73"/>
      <c r="N142" s="73"/>
      <c r="O142" s="75"/>
    </row>
    <row r="143" spans="1:15" s="76" customFormat="1" ht="15" customHeight="1" x14ac:dyDescent="0.25">
      <c r="A143" s="82" t="s">
        <v>631</v>
      </c>
      <c r="B143" s="71" t="s">
        <v>313</v>
      </c>
      <c r="C143" s="72" t="s">
        <v>314</v>
      </c>
      <c r="D143" s="83" t="s">
        <v>324</v>
      </c>
      <c r="E143" s="72" t="s">
        <v>386</v>
      </c>
      <c r="F143" s="73">
        <f t="shared" ref="F143:F144" si="111">I143+L143</f>
        <v>0</v>
      </c>
      <c r="G143" s="73">
        <f t="shared" ref="G143:G144" si="112">J143+M143</f>
        <v>0</v>
      </c>
      <c r="H143" s="73">
        <f t="shared" ref="H143:H144" si="113">K143+N143</f>
        <v>0</v>
      </c>
      <c r="I143" s="191"/>
      <c r="J143" s="191"/>
      <c r="K143" s="191"/>
      <c r="L143" s="73"/>
      <c r="M143" s="73"/>
      <c r="N143" s="73"/>
      <c r="O143" s="75"/>
    </row>
    <row r="144" spans="1:15" s="76" customFormat="1" ht="15" customHeight="1" x14ac:dyDescent="0.25">
      <c r="A144" s="82" t="s">
        <v>632</v>
      </c>
      <c r="B144" s="71" t="s">
        <v>313</v>
      </c>
      <c r="C144" s="72" t="s">
        <v>314</v>
      </c>
      <c r="D144" s="83" t="s">
        <v>324</v>
      </c>
      <c r="E144" s="72" t="s">
        <v>386</v>
      </c>
      <c r="F144" s="73">
        <f t="shared" si="111"/>
        <v>84220</v>
      </c>
      <c r="G144" s="73">
        <f t="shared" si="112"/>
        <v>84220</v>
      </c>
      <c r="H144" s="73">
        <f t="shared" si="113"/>
        <v>84220</v>
      </c>
      <c r="I144" s="191">
        <v>84220</v>
      </c>
      <c r="J144" s="191">
        <v>84220</v>
      </c>
      <c r="K144" s="191">
        <f>J144</f>
        <v>84220</v>
      </c>
      <c r="L144" s="73"/>
      <c r="M144" s="73"/>
      <c r="N144" s="73"/>
      <c r="O144" s="75"/>
    </row>
    <row r="145" spans="1:16" s="58" customFormat="1" ht="28.5" x14ac:dyDescent="0.2">
      <c r="A145" s="77" t="s">
        <v>387</v>
      </c>
      <c r="B145" s="77"/>
      <c r="C145" s="78"/>
      <c r="D145" s="78" t="s">
        <v>324</v>
      </c>
      <c r="E145" s="78" t="s">
        <v>388</v>
      </c>
      <c r="F145" s="80">
        <f>SUM(F146:F154)</f>
        <v>0</v>
      </c>
      <c r="G145" s="80">
        <f t="shared" ref="G145:N145" si="114">SUM(G146:G154)</f>
        <v>0</v>
      </c>
      <c r="H145" s="80">
        <f t="shared" si="114"/>
        <v>0</v>
      </c>
      <c r="I145" s="192">
        <f t="shared" si="114"/>
        <v>0</v>
      </c>
      <c r="J145" s="192">
        <f t="shared" si="114"/>
        <v>0</v>
      </c>
      <c r="K145" s="192">
        <f t="shared" si="114"/>
        <v>0</v>
      </c>
      <c r="L145" s="80">
        <f t="shared" si="114"/>
        <v>0</v>
      </c>
      <c r="M145" s="80">
        <f t="shared" si="114"/>
        <v>0</v>
      </c>
      <c r="N145" s="80">
        <f t="shared" si="114"/>
        <v>0</v>
      </c>
      <c r="O145" s="81"/>
    </row>
    <row r="146" spans="1:16" s="76" customFormat="1" ht="15" customHeight="1" x14ac:dyDescent="0.25">
      <c r="A146" s="82" t="s">
        <v>461</v>
      </c>
      <c r="B146" s="71" t="s">
        <v>313</v>
      </c>
      <c r="C146" s="72" t="s">
        <v>314</v>
      </c>
      <c r="D146" s="83" t="s">
        <v>324</v>
      </c>
      <c r="E146" s="72" t="s">
        <v>463</v>
      </c>
      <c r="F146" s="73">
        <f t="shared" ref="F146" si="115">I146+L146</f>
        <v>0</v>
      </c>
      <c r="G146" s="73">
        <f t="shared" ref="G146" si="116">J146+M146</f>
        <v>0</v>
      </c>
      <c r="H146" s="73">
        <f t="shared" ref="H146" si="117">K146+N146</f>
        <v>0</v>
      </c>
      <c r="I146" s="191"/>
      <c r="J146" s="191"/>
      <c r="K146" s="191"/>
      <c r="L146" s="73"/>
      <c r="M146" s="73"/>
      <c r="N146" s="73"/>
      <c r="O146" s="75"/>
    </row>
    <row r="147" spans="1:16" x14ac:dyDescent="0.25">
      <c r="A147" s="82" t="s">
        <v>490</v>
      </c>
      <c r="B147" s="71" t="s">
        <v>313</v>
      </c>
      <c r="C147" s="72" t="s">
        <v>314</v>
      </c>
      <c r="D147" s="83" t="s">
        <v>324</v>
      </c>
      <c r="E147" s="72" t="s">
        <v>392</v>
      </c>
      <c r="F147" s="73">
        <f t="shared" ref="F147" si="118">I147+L147</f>
        <v>0</v>
      </c>
      <c r="G147" s="73">
        <f t="shared" ref="G147" si="119">J147+M147</f>
        <v>0</v>
      </c>
      <c r="H147" s="73">
        <f t="shared" ref="H147" si="120">K147+N147</f>
        <v>0</v>
      </c>
      <c r="I147" s="194"/>
      <c r="J147" s="194"/>
      <c r="K147" s="194"/>
      <c r="L147" s="73"/>
      <c r="M147" s="73"/>
      <c r="N147" s="73"/>
    </row>
    <row r="148" spans="1:16" x14ac:dyDescent="0.25">
      <c r="A148" s="82" t="s">
        <v>491</v>
      </c>
      <c r="B148" s="71" t="s">
        <v>313</v>
      </c>
      <c r="C148" s="72" t="s">
        <v>314</v>
      </c>
      <c r="D148" s="83" t="s">
        <v>324</v>
      </c>
      <c r="E148" s="72" t="s">
        <v>392</v>
      </c>
      <c r="F148" s="73">
        <f t="shared" ref="F148" si="121">I148+L148</f>
        <v>0</v>
      </c>
      <c r="G148" s="73">
        <f t="shared" ref="G148" si="122">J148+M148</f>
        <v>0</v>
      </c>
      <c r="H148" s="73">
        <f t="shared" ref="H148" si="123">K148+N148</f>
        <v>0</v>
      </c>
      <c r="I148" s="194"/>
      <c r="J148" s="194"/>
      <c r="K148" s="194"/>
      <c r="L148" s="73"/>
      <c r="M148" s="73"/>
      <c r="N148" s="73"/>
    </row>
    <row r="149" spans="1:16" x14ac:dyDescent="0.25">
      <c r="A149" s="82" t="s">
        <v>492</v>
      </c>
      <c r="B149" s="71" t="s">
        <v>313</v>
      </c>
      <c r="C149" s="72" t="s">
        <v>314</v>
      </c>
      <c r="D149" s="83" t="s">
        <v>324</v>
      </c>
      <c r="E149" s="72" t="s">
        <v>392</v>
      </c>
      <c r="F149" s="73">
        <f t="shared" ref="F149" si="124">I149+L149</f>
        <v>0</v>
      </c>
      <c r="G149" s="73">
        <f t="shared" ref="G149" si="125">J149+M149</f>
        <v>0</v>
      </c>
      <c r="H149" s="73">
        <f t="shared" ref="H149" si="126">K149+N149</f>
        <v>0</v>
      </c>
      <c r="I149" s="194"/>
      <c r="J149" s="194"/>
      <c r="K149" s="194"/>
      <c r="L149" s="73"/>
      <c r="M149" s="73"/>
      <c r="N149" s="73"/>
    </row>
    <row r="150" spans="1:16" x14ac:dyDescent="0.25">
      <c r="A150" s="82"/>
      <c r="B150" s="71" t="s">
        <v>313</v>
      </c>
      <c r="C150" s="72" t="s">
        <v>314</v>
      </c>
      <c r="D150" s="83" t="s">
        <v>324</v>
      </c>
      <c r="E150" s="72" t="s">
        <v>392</v>
      </c>
      <c r="F150" s="73">
        <f t="shared" ref="F150" si="127">I150+L150</f>
        <v>0</v>
      </c>
      <c r="G150" s="73">
        <f t="shared" ref="G150" si="128">J150+M150</f>
        <v>0</v>
      </c>
      <c r="H150" s="73">
        <f t="shared" ref="H150" si="129">K150+N150</f>
        <v>0</v>
      </c>
      <c r="I150" s="194"/>
      <c r="J150" s="194"/>
      <c r="K150" s="194"/>
      <c r="L150" s="73"/>
      <c r="M150" s="73"/>
      <c r="N150" s="73"/>
    </row>
    <row r="151" spans="1:16" x14ac:dyDescent="0.25">
      <c r="A151" s="82"/>
      <c r="B151" s="71" t="s">
        <v>313</v>
      </c>
      <c r="C151" s="72" t="s">
        <v>314</v>
      </c>
      <c r="D151" s="83" t="s">
        <v>324</v>
      </c>
      <c r="E151" s="72" t="s">
        <v>392</v>
      </c>
      <c r="F151" s="73">
        <f t="shared" ref="F151:F154" si="130">I151+L151</f>
        <v>0</v>
      </c>
      <c r="G151" s="73">
        <f t="shared" ref="G151:G154" si="131">J151+M151</f>
        <v>0</v>
      </c>
      <c r="H151" s="73">
        <f t="shared" ref="H151:H154" si="132">K151+N151</f>
        <v>0</v>
      </c>
      <c r="I151" s="194"/>
      <c r="J151" s="194"/>
      <c r="K151" s="194"/>
      <c r="L151" s="73"/>
      <c r="M151" s="73"/>
      <c r="N151" s="73"/>
    </row>
    <row r="152" spans="1:16" x14ac:dyDescent="0.25">
      <c r="A152" s="82"/>
      <c r="B152" s="71" t="s">
        <v>313</v>
      </c>
      <c r="C152" s="72" t="s">
        <v>314</v>
      </c>
      <c r="D152" s="83" t="s">
        <v>324</v>
      </c>
      <c r="E152" s="72" t="s">
        <v>392</v>
      </c>
      <c r="F152" s="73">
        <f t="shared" si="130"/>
        <v>0</v>
      </c>
      <c r="G152" s="73">
        <f t="shared" si="131"/>
        <v>0</v>
      </c>
      <c r="H152" s="73">
        <f t="shared" si="132"/>
        <v>0</v>
      </c>
      <c r="I152" s="194"/>
      <c r="J152" s="194"/>
      <c r="K152" s="194"/>
      <c r="L152" s="73"/>
      <c r="M152" s="73"/>
      <c r="N152" s="73"/>
    </row>
    <row r="153" spans="1:16" x14ac:dyDescent="0.25">
      <c r="A153" s="82"/>
      <c r="B153" s="71" t="s">
        <v>313</v>
      </c>
      <c r="C153" s="72" t="s">
        <v>314</v>
      </c>
      <c r="D153" s="83" t="s">
        <v>324</v>
      </c>
      <c r="E153" s="72" t="s">
        <v>392</v>
      </c>
      <c r="F153" s="73">
        <f t="shared" si="130"/>
        <v>0</v>
      </c>
      <c r="G153" s="73">
        <f t="shared" si="131"/>
        <v>0</v>
      </c>
      <c r="H153" s="73">
        <f t="shared" si="132"/>
        <v>0</v>
      </c>
      <c r="I153" s="194"/>
      <c r="J153" s="194"/>
      <c r="K153" s="194"/>
      <c r="L153" s="73"/>
      <c r="M153" s="73"/>
      <c r="N153" s="73"/>
    </row>
    <row r="154" spans="1:16" x14ac:dyDescent="0.25">
      <c r="A154" s="82"/>
      <c r="B154" s="71" t="s">
        <v>313</v>
      </c>
      <c r="C154" s="72" t="s">
        <v>314</v>
      </c>
      <c r="D154" s="83" t="s">
        <v>324</v>
      </c>
      <c r="E154" s="72" t="s">
        <v>392</v>
      </c>
      <c r="F154" s="73">
        <f t="shared" si="130"/>
        <v>0</v>
      </c>
      <c r="G154" s="73">
        <f t="shared" si="131"/>
        <v>0</v>
      </c>
      <c r="H154" s="73">
        <f t="shared" si="132"/>
        <v>0</v>
      </c>
      <c r="I154" s="194"/>
      <c r="J154" s="194"/>
      <c r="K154" s="194"/>
      <c r="L154" s="73"/>
      <c r="M154" s="73"/>
      <c r="N154" s="73"/>
    </row>
    <row r="155" spans="1:16" x14ac:dyDescent="0.25">
      <c r="A155" s="91"/>
      <c r="B155" s="92"/>
      <c r="C155" s="90"/>
      <c r="D155" s="90"/>
      <c r="E155" s="90"/>
      <c r="F155" s="73">
        <f t="shared" si="88"/>
        <v>0</v>
      </c>
      <c r="G155" s="73">
        <f t="shared" si="88"/>
        <v>0</v>
      </c>
      <c r="H155" s="73">
        <f t="shared" si="88"/>
        <v>0</v>
      </c>
      <c r="I155" s="194"/>
      <c r="J155" s="194"/>
      <c r="K155" s="194"/>
      <c r="L155" s="73"/>
      <c r="M155" s="73"/>
      <c r="N155" s="73"/>
    </row>
    <row r="156" spans="1:16" x14ac:dyDescent="0.25">
      <c r="A156" s="91"/>
      <c r="B156" s="92"/>
      <c r="C156" s="90"/>
      <c r="D156" s="90"/>
      <c r="E156" s="90"/>
      <c r="F156" s="73">
        <f t="shared" si="88"/>
        <v>0</v>
      </c>
      <c r="G156" s="73">
        <f t="shared" si="88"/>
        <v>0</v>
      </c>
      <c r="H156" s="73">
        <f t="shared" si="88"/>
        <v>0</v>
      </c>
      <c r="I156" s="194"/>
      <c r="J156" s="194"/>
      <c r="K156" s="194"/>
      <c r="L156" s="73"/>
      <c r="M156" s="73"/>
      <c r="N156" s="73"/>
    </row>
    <row r="157" spans="1:16" x14ac:dyDescent="0.25">
      <c r="A157" s="91"/>
      <c r="B157" s="92"/>
      <c r="C157" s="90"/>
      <c r="D157" s="90"/>
      <c r="E157" s="90"/>
      <c r="F157" s="73">
        <f t="shared" si="88"/>
        <v>0</v>
      </c>
      <c r="G157" s="73">
        <f t="shared" si="88"/>
        <v>0</v>
      </c>
      <c r="H157" s="73">
        <f t="shared" si="88"/>
        <v>0</v>
      </c>
      <c r="I157" s="194"/>
      <c r="J157" s="194"/>
      <c r="K157" s="194"/>
      <c r="L157" s="73"/>
      <c r="M157" s="73"/>
      <c r="N157" s="73"/>
    </row>
    <row r="158" spans="1:16" x14ac:dyDescent="0.25">
      <c r="A158" s="91"/>
      <c r="B158" s="92"/>
      <c r="C158" s="90"/>
      <c r="D158" s="90"/>
      <c r="E158" s="90"/>
      <c r="F158" s="73">
        <f t="shared" si="88"/>
        <v>0</v>
      </c>
      <c r="G158" s="73">
        <f t="shared" si="88"/>
        <v>0</v>
      </c>
      <c r="H158" s="73">
        <f t="shared" si="88"/>
        <v>0</v>
      </c>
      <c r="I158" s="194"/>
      <c r="J158" s="194"/>
      <c r="K158" s="194"/>
      <c r="L158" s="73"/>
      <c r="M158" s="73"/>
      <c r="N158" s="73"/>
    </row>
    <row r="159" spans="1:16" s="58" customFormat="1" ht="14.25" x14ac:dyDescent="0.2">
      <c r="A159" s="157" t="s">
        <v>719</v>
      </c>
      <c r="B159" s="157"/>
      <c r="C159" s="287"/>
      <c r="D159" s="287"/>
      <c r="E159" s="287"/>
      <c r="F159" s="288">
        <f t="shared" ref="F159:N159" si="133">SUM(F160:F178)</f>
        <v>69040</v>
      </c>
      <c r="G159" s="288">
        <f>SUM(G160:G178)</f>
        <v>43200</v>
      </c>
      <c r="H159" s="288">
        <f t="shared" si="133"/>
        <v>43200</v>
      </c>
      <c r="I159" s="288">
        <f t="shared" si="133"/>
        <v>69040</v>
      </c>
      <c r="J159" s="288">
        <f t="shared" si="133"/>
        <v>43200</v>
      </c>
      <c r="K159" s="288">
        <f t="shared" si="133"/>
        <v>43200</v>
      </c>
      <c r="L159" s="288">
        <f t="shared" si="133"/>
        <v>0</v>
      </c>
      <c r="M159" s="288">
        <f t="shared" si="133"/>
        <v>0</v>
      </c>
      <c r="N159" s="288">
        <f t="shared" si="133"/>
        <v>0</v>
      </c>
      <c r="O159" s="70" t="s">
        <v>721</v>
      </c>
      <c r="P159" s="70" t="s">
        <v>720</v>
      </c>
    </row>
    <row r="160" spans="1:16" x14ac:dyDescent="0.25">
      <c r="A160" s="196" t="s">
        <v>475</v>
      </c>
      <c r="B160" s="92"/>
      <c r="C160" s="90" t="s">
        <v>314</v>
      </c>
      <c r="D160" s="90" t="s">
        <v>324</v>
      </c>
      <c r="E160" s="90" t="s">
        <v>339</v>
      </c>
      <c r="F160" s="73">
        <f t="shared" ref="F160:H178" si="134">I160+L160</f>
        <v>30640</v>
      </c>
      <c r="G160" s="73">
        <f t="shared" si="134"/>
        <v>20800</v>
      </c>
      <c r="H160" s="73">
        <f t="shared" si="134"/>
        <v>20800</v>
      </c>
      <c r="I160" s="194">
        <f>20800+1920+7920</f>
        <v>30640</v>
      </c>
      <c r="J160" s="194">
        <v>20800</v>
      </c>
      <c r="K160" s="194">
        <f>J160</f>
        <v>20800</v>
      </c>
      <c r="L160" s="73"/>
      <c r="M160" s="73"/>
      <c r="N160" s="73"/>
    </row>
    <row r="161" spans="1:14" x14ac:dyDescent="0.25">
      <c r="A161" s="196" t="s">
        <v>520</v>
      </c>
      <c r="B161" s="92"/>
      <c r="C161" s="90" t="s">
        <v>314</v>
      </c>
      <c r="D161" s="90" t="s">
        <v>324</v>
      </c>
      <c r="E161" s="90" t="s">
        <v>317</v>
      </c>
      <c r="F161" s="73">
        <f t="shared" si="134"/>
        <v>38400</v>
      </c>
      <c r="G161" s="73">
        <f t="shared" si="134"/>
        <v>22400</v>
      </c>
      <c r="H161" s="73">
        <f t="shared" si="134"/>
        <v>22400</v>
      </c>
      <c r="I161" s="194">
        <f>22400+6400+9600</f>
        <v>38400</v>
      </c>
      <c r="J161" s="194">
        <v>22400</v>
      </c>
      <c r="K161" s="194">
        <f>J161</f>
        <v>22400</v>
      </c>
      <c r="L161" s="73"/>
      <c r="M161" s="73"/>
      <c r="N161" s="73"/>
    </row>
    <row r="162" spans="1:14" x14ac:dyDescent="0.25">
      <c r="A162" s="91"/>
      <c r="B162" s="92"/>
      <c r="C162" s="90"/>
      <c r="D162" s="90"/>
      <c r="E162" s="90"/>
      <c r="F162" s="73">
        <f t="shared" si="134"/>
        <v>0</v>
      </c>
      <c r="G162" s="73">
        <f t="shared" si="134"/>
        <v>0</v>
      </c>
      <c r="H162" s="73">
        <f t="shared" si="134"/>
        <v>0</v>
      </c>
      <c r="I162" s="194"/>
      <c r="J162" s="194"/>
      <c r="K162" s="194"/>
      <c r="L162" s="73"/>
      <c r="M162" s="73"/>
      <c r="N162" s="73"/>
    </row>
    <row r="163" spans="1:14" hidden="1" x14ac:dyDescent="0.25">
      <c r="A163" s="91"/>
      <c r="B163" s="92"/>
      <c r="C163" s="90"/>
      <c r="D163" s="90"/>
      <c r="E163" s="90"/>
      <c r="F163" s="73">
        <f t="shared" si="134"/>
        <v>0</v>
      </c>
      <c r="G163" s="73">
        <f t="shared" si="134"/>
        <v>0</v>
      </c>
      <c r="H163" s="73">
        <f t="shared" si="134"/>
        <v>0</v>
      </c>
      <c r="I163" s="194"/>
      <c r="J163" s="194"/>
      <c r="K163" s="194"/>
      <c r="L163" s="73"/>
      <c r="M163" s="73"/>
      <c r="N163" s="73"/>
    </row>
    <row r="164" spans="1:14" hidden="1" x14ac:dyDescent="0.25">
      <c r="A164" s="91"/>
      <c r="B164" s="92"/>
      <c r="C164" s="90"/>
      <c r="D164" s="90"/>
      <c r="E164" s="90"/>
      <c r="F164" s="73">
        <f t="shared" si="134"/>
        <v>0</v>
      </c>
      <c r="G164" s="73">
        <f t="shared" si="134"/>
        <v>0</v>
      </c>
      <c r="H164" s="73">
        <f t="shared" si="134"/>
        <v>0</v>
      </c>
      <c r="I164" s="194"/>
      <c r="J164" s="194"/>
      <c r="K164" s="194"/>
      <c r="L164" s="73"/>
      <c r="M164" s="73"/>
      <c r="N164" s="73"/>
    </row>
    <row r="165" spans="1:14" hidden="1" x14ac:dyDescent="0.25">
      <c r="A165" s="91"/>
      <c r="B165" s="92"/>
      <c r="C165" s="90"/>
      <c r="D165" s="90"/>
      <c r="E165" s="90"/>
      <c r="F165" s="73">
        <f t="shared" si="134"/>
        <v>0</v>
      </c>
      <c r="G165" s="73">
        <f t="shared" si="134"/>
        <v>0</v>
      </c>
      <c r="H165" s="73">
        <f t="shared" si="134"/>
        <v>0</v>
      </c>
      <c r="I165" s="194"/>
      <c r="J165" s="194"/>
      <c r="K165" s="194"/>
      <c r="L165" s="73"/>
      <c r="M165" s="73"/>
      <c r="N165" s="73"/>
    </row>
    <row r="166" spans="1:14" hidden="1" x14ac:dyDescent="0.25">
      <c r="A166" s="91"/>
      <c r="B166" s="92"/>
      <c r="C166" s="90"/>
      <c r="D166" s="90"/>
      <c r="E166" s="90"/>
      <c r="F166" s="73">
        <f t="shared" si="134"/>
        <v>0</v>
      </c>
      <c r="G166" s="73">
        <f t="shared" si="134"/>
        <v>0</v>
      </c>
      <c r="H166" s="73">
        <f t="shared" si="134"/>
        <v>0</v>
      </c>
      <c r="I166" s="194"/>
      <c r="J166" s="194"/>
      <c r="K166" s="194"/>
      <c r="L166" s="73"/>
      <c r="M166" s="73"/>
      <c r="N166" s="73"/>
    </row>
    <row r="167" spans="1:14" hidden="1" x14ac:dyDescent="0.25">
      <c r="A167" s="91"/>
      <c r="B167" s="92"/>
      <c r="C167" s="90"/>
      <c r="D167" s="90"/>
      <c r="E167" s="90"/>
      <c r="F167" s="73">
        <f t="shared" si="134"/>
        <v>0</v>
      </c>
      <c r="G167" s="73">
        <f t="shared" si="134"/>
        <v>0</v>
      </c>
      <c r="H167" s="73">
        <f t="shared" si="134"/>
        <v>0</v>
      </c>
      <c r="I167" s="194"/>
      <c r="J167" s="194"/>
      <c r="K167" s="194"/>
      <c r="L167" s="73"/>
      <c r="M167" s="73"/>
      <c r="N167" s="73"/>
    </row>
    <row r="168" spans="1:14" hidden="1" x14ac:dyDescent="0.25">
      <c r="A168" s="91"/>
      <c r="B168" s="92"/>
      <c r="C168" s="90"/>
      <c r="D168" s="90"/>
      <c r="E168" s="90"/>
      <c r="F168" s="73">
        <f t="shared" si="134"/>
        <v>0</v>
      </c>
      <c r="G168" s="73">
        <f t="shared" si="134"/>
        <v>0</v>
      </c>
      <c r="H168" s="73">
        <f t="shared" si="134"/>
        <v>0</v>
      </c>
      <c r="I168" s="194"/>
      <c r="J168" s="194"/>
      <c r="K168" s="194"/>
      <c r="L168" s="73"/>
      <c r="M168" s="73"/>
      <c r="N168" s="73"/>
    </row>
    <row r="169" spans="1:14" hidden="1" x14ac:dyDescent="0.25">
      <c r="A169" s="91"/>
      <c r="B169" s="92"/>
      <c r="C169" s="90"/>
      <c r="D169" s="90"/>
      <c r="E169" s="90"/>
      <c r="F169" s="73">
        <f t="shared" si="134"/>
        <v>0</v>
      </c>
      <c r="G169" s="73">
        <f t="shared" si="134"/>
        <v>0</v>
      </c>
      <c r="H169" s="73">
        <f t="shared" si="134"/>
        <v>0</v>
      </c>
      <c r="I169" s="194"/>
      <c r="J169" s="194"/>
      <c r="K169" s="194"/>
      <c r="L169" s="73"/>
      <c r="M169" s="73"/>
      <c r="N169" s="73"/>
    </row>
    <row r="170" spans="1:14" hidden="1" x14ac:dyDescent="0.25">
      <c r="A170" s="91"/>
      <c r="B170" s="92"/>
      <c r="C170" s="90"/>
      <c r="D170" s="90"/>
      <c r="E170" s="90"/>
      <c r="F170" s="73">
        <f t="shared" si="134"/>
        <v>0</v>
      </c>
      <c r="G170" s="73">
        <f t="shared" si="134"/>
        <v>0</v>
      </c>
      <c r="H170" s="73">
        <f t="shared" si="134"/>
        <v>0</v>
      </c>
      <c r="I170" s="194"/>
      <c r="J170" s="194"/>
      <c r="K170" s="194"/>
      <c r="L170" s="73"/>
      <c r="M170" s="73"/>
      <c r="N170" s="73"/>
    </row>
    <row r="171" spans="1:14" hidden="1" x14ac:dyDescent="0.25">
      <c r="A171" s="91"/>
      <c r="B171" s="92"/>
      <c r="C171" s="90"/>
      <c r="D171" s="90"/>
      <c r="E171" s="90"/>
      <c r="F171" s="73">
        <f t="shared" si="134"/>
        <v>0</v>
      </c>
      <c r="G171" s="73">
        <f t="shared" si="134"/>
        <v>0</v>
      </c>
      <c r="H171" s="73">
        <f t="shared" si="134"/>
        <v>0</v>
      </c>
      <c r="I171" s="194"/>
      <c r="J171" s="194"/>
      <c r="K171" s="194"/>
      <c r="L171" s="73"/>
      <c r="M171" s="73"/>
      <c r="N171" s="73"/>
    </row>
    <row r="172" spans="1:14" hidden="1" x14ac:dyDescent="0.25">
      <c r="A172" s="91"/>
      <c r="B172" s="92"/>
      <c r="C172" s="90"/>
      <c r="D172" s="90"/>
      <c r="E172" s="90"/>
      <c r="F172" s="73">
        <f t="shared" si="134"/>
        <v>0</v>
      </c>
      <c r="G172" s="73">
        <f t="shared" si="134"/>
        <v>0</v>
      </c>
      <c r="H172" s="73">
        <f t="shared" si="134"/>
        <v>0</v>
      </c>
      <c r="I172" s="194"/>
      <c r="J172" s="194"/>
      <c r="K172" s="194"/>
      <c r="L172" s="73"/>
      <c r="M172" s="73"/>
      <c r="N172" s="73"/>
    </row>
    <row r="173" spans="1:14" hidden="1" x14ac:dyDescent="0.25">
      <c r="A173" s="91"/>
      <c r="B173" s="92"/>
      <c r="C173" s="90"/>
      <c r="D173" s="90"/>
      <c r="E173" s="90"/>
      <c r="F173" s="73">
        <f t="shared" si="134"/>
        <v>0</v>
      </c>
      <c r="G173" s="73">
        <f t="shared" si="134"/>
        <v>0</v>
      </c>
      <c r="H173" s="73">
        <f t="shared" si="134"/>
        <v>0</v>
      </c>
      <c r="I173" s="194"/>
      <c r="J173" s="194"/>
      <c r="K173" s="194"/>
      <c r="L173" s="73"/>
      <c r="M173" s="73"/>
      <c r="N173" s="73"/>
    </row>
    <row r="174" spans="1:14" hidden="1" x14ac:dyDescent="0.25">
      <c r="A174" s="91"/>
      <c r="B174" s="92"/>
      <c r="C174" s="90"/>
      <c r="D174" s="90"/>
      <c r="E174" s="90"/>
      <c r="F174" s="73">
        <f t="shared" si="134"/>
        <v>0</v>
      </c>
      <c r="G174" s="73">
        <f t="shared" si="134"/>
        <v>0</v>
      </c>
      <c r="H174" s="73">
        <f t="shared" si="134"/>
        <v>0</v>
      </c>
      <c r="I174" s="194"/>
      <c r="J174" s="194"/>
      <c r="K174" s="194"/>
      <c r="L174" s="73"/>
      <c r="M174" s="73"/>
      <c r="N174" s="73"/>
    </row>
    <row r="175" spans="1:14" hidden="1" x14ac:dyDescent="0.25">
      <c r="A175" s="91"/>
      <c r="B175" s="92"/>
      <c r="C175" s="90"/>
      <c r="D175" s="90"/>
      <c r="E175" s="90"/>
      <c r="F175" s="73">
        <f t="shared" si="134"/>
        <v>0</v>
      </c>
      <c r="G175" s="73">
        <f t="shared" si="134"/>
        <v>0</v>
      </c>
      <c r="H175" s="73">
        <f t="shared" si="134"/>
        <v>0</v>
      </c>
      <c r="I175" s="194"/>
      <c r="J175" s="194"/>
      <c r="K175" s="194"/>
      <c r="L175" s="73"/>
      <c r="M175" s="73"/>
      <c r="N175" s="73"/>
    </row>
    <row r="176" spans="1:14" hidden="1" x14ac:dyDescent="0.25">
      <c r="A176" s="91"/>
      <c r="B176" s="92"/>
      <c r="C176" s="90"/>
      <c r="D176" s="90"/>
      <c r="E176" s="90"/>
      <c r="F176" s="73">
        <f t="shared" si="134"/>
        <v>0</v>
      </c>
      <c r="G176" s="73">
        <f t="shared" si="134"/>
        <v>0</v>
      </c>
      <c r="H176" s="73">
        <f t="shared" si="134"/>
        <v>0</v>
      </c>
      <c r="I176" s="194"/>
      <c r="J176" s="194"/>
      <c r="K176" s="194"/>
      <c r="L176" s="73"/>
      <c r="M176" s="73"/>
      <c r="N176" s="73"/>
    </row>
    <row r="177" spans="1:16" hidden="1" x14ac:dyDescent="0.25">
      <c r="A177" s="91"/>
      <c r="B177" s="92"/>
      <c r="C177" s="90"/>
      <c r="D177" s="90"/>
      <c r="E177" s="90"/>
      <c r="F177" s="73">
        <f t="shared" si="134"/>
        <v>0</v>
      </c>
      <c r="G177" s="73">
        <f t="shared" si="134"/>
        <v>0</v>
      </c>
      <c r="H177" s="73">
        <f t="shared" si="134"/>
        <v>0</v>
      </c>
      <c r="I177" s="194"/>
      <c r="J177" s="194"/>
      <c r="K177" s="194"/>
      <c r="L177" s="73"/>
      <c r="M177" s="73"/>
      <c r="N177" s="73"/>
    </row>
    <row r="178" spans="1:16" hidden="1" x14ac:dyDescent="0.25">
      <c r="A178" s="91"/>
      <c r="B178" s="92"/>
      <c r="C178" s="90"/>
      <c r="D178" s="90"/>
      <c r="E178" s="90"/>
      <c r="F178" s="73">
        <f t="shared" si="134"/>
        <v>0</v>
      </c>
      <c r="G178" s="73">
        <f t="shared" si="134"/>
        <v>0</v>
      </c>
      <c r="H178" s="73">
        <f t="shared" si="134"/>
        <v>0</v>
      </c>
      <c r="I178" s="194"/>
      <c r="J178" s="194"/>
      <c r="K178" s="194"/>
      <c r="L178" s="73"/>
      <c r="M178" s="73"/>
      <c r="N178" s="73"/>
    </row>
    <row r="179" spans="1:16" s="58" customFormat="1" ht="14.25" hidden="1" x14ac:dyDescent="0.2">
      <c r="A179" s="93"/>
      <c r="B179" s="86"/>
      <c r="C179" s="87"/>
      <c r="D179" s="87"/>
      <c r="E179" s="87"/>
      <c r="F179" s="79">
        <f t="shared" ref="F179:N179" si="135">SUM(F180:F196)</f>
        <v>0</v>
      </c>
      <c r="G179" s="79">
        <f t="shared" si="135"/>
        <v>0</v>
      </c>
      <c r="H179" s="79">
        <f t="shared" si="135"/>
        <v>0</v>
      </c>
      <c r="I179" s="193">
        <f t="shared" si="135"/>
        <v>0</v>
      </c>
      <c r="J179" s="193">
        <f t="shared" si="135"/>
        <v>0</v>
      </c>
      <c r="K179" s="193">
        <f t="shared" si="135"/>
        <v>0</v>
      </c>
      <c r="L179" s="79">
        <f t="shared" si="135"/>
        <v>0</v>
      </c>
      <c r="M179" s="79">
        <f t="shared" si="135"/>
        <v>0</v>
      </c>
      <c r="N179" s="79">
        <f t="shared" si="135"/>
        <v>0</v>
      </c>
      <c r="O179" s="70" t="s">
        <v>304</v>
      </c>
      <c r="P179" s="70"/>
    </row>
    <row r="180" spans="1:16" hidden="1" x14ac:dyDescent="0.25">
      <c r="A180" s="91"/>
      <c r="B180" s="92"/>
      <c r="C180" s="90"/>
      <c r="D180" s="90"/>
      <c r="E180" s="90"/>
      <c r="F180" s="73">
        <f t="shared" ref="F180:H196" si="136">I180+L180</f>
        <v>0</v>
      </c>
      <c r="G180" s="73">
        <f t="shared" si="136"/>
        <v>0</v>
      </c>
      <c r="H180" s="73">
        <f t="shared" si="136"/>
        <v>0</v>
      </c>
      <c r="I180" s="194"/>
      <c r="J180" s="194"/>
      <c r="K180" s="194"/>
      <c r="L180" s="73"/>
      <c r="M180" s="73"/>
      <c r="N180" s="73"/>
    </row>
    <row r="181" spans="1:16" hidden="1" x14ac:dyDescent="0.25">
      <c r="A181" s="91"/>
      <c r="B181" s="92"/>
      <c r="C181" s="90"/>
      <c r="D181" s="90"/>
      <c r="E181" s="90"/>
      <c r="F181" s="73">
        <f t="shared" si="136"/>
        <v>0</v>
      </c>
      <c r="G181" s="73">
        <f t="shared" si="136"/>
        <v>0</v>
      </c>
      <c r="H181" s="73">
        <f t="shared" si="136"/>
        <v>0</v>
      </c>
      <c r="I181" s="194"/>
      <c r="J181" s="194"/>
      <c r="K181" s="194"/>
      <c r="L181" s="73"/>
      <c r="M181" s="73"/>
      <c r="N181" s="73"/>
    </row>
    <row r="182" spans="1:16" hidden="1" x14ac:dyDescent="0.25">
      <c r="A182" s="91"/>
      <c r="B182" s="92"/>
      <c r="C182" s="90"/>
      <c r="D182" s="90"/>
      <c r="E182" s="90"/>
      <c r="F182" s="73">
        <f t="shared" si="136"/>
        <v>0</v>
      </c>
      <c r="G182" s="73">
        <f t="shared" si="136"/>
        <v>0</v>
      </c>
      <c r="H182" s="73">
        <f t="shared" si="136"/>
        <v>0</v>
      </c>
      <c r="I182" s="194"/>
      <c r="J182" s="194"/>
      <c r="K182" s="194"/>
      <c r="L182" s="73"/>
      <c r="M182" s="73"/>
      <c r="N182" s="73"/>
    </row>
    <row r="183" spans="1:16" hidden="1" x14ac:dyDescent="0.25">
      <c r="A183" s="91"/>
      <c r="B183" s="92"/>
      <c r="C183" s="90"/>
      <c r="D183" s="90"/>
      <c r="E183" s="90"/>
      <c r="F183" s="73">
        <f t="shared" si="136"/>
        <v>0</v>
      </c>
      <c r="G183" s="73">
        <f t="shared" si="136"/>
        <v>0</v>
      </c>
      <c r="H183" s="73">
        <f t="shared" si="136"/>
        <v>0</v>
      </c>
      <c r="I183" s="194"/>
      <c r="J183" s="194"/>
      <c r="K183" s="194"/>
      <c r="L183" s="73"/>
      <c r="M183" s="73"/>
      <c r="N183" s="73"/>
    </row>
    <row r="184" spans="1:16" hidden="1" x14ac:dyDescent="0.25">
      <c r="A184" s="91"/>
      <c r="B184" s="92"/>
      <c r="C184" s="90"/>
      <c r="D184" s="90"/>
      <c r="E184" s="90"/>
      <c r="F184" s="73">
        <f t="shared" si="136"/>
        <v>0</v>
      </c>
      <c r="G184" s="73">
        <f t="shared" si="136"/>
        <v>0</v>
      </c>
      <c r="H184" s="73">
        <f t="shared" si="136"/>
        <v>0</v>
      </c>
      <c r="I184" s="194"/>
      <c r="J184" s="194"/>
      <c r="K184" s="194"/>
      <c r="L184" s="73"/>
      <c r="M184" s="73"/>
      <c r="N184" s="73"/>
    </row>
    <row r="185" spans="1:16" hidden="1" x14ac:dyDescent="0.25">
      <c r="A185" s="91"/>
      <c r="B185" s="92"/>
      <c r="C185" s="90"/>
      <c r="D185" s="90"/>
      <c r="E185" s="90"/>
      <c r="F185" s="73">
        <f t="shared" si="136"/>
        <v>0</v>
      </c>
      <c r="G185" s="73">
        <f t="shared" si="136"/>
        <v>0</v>
      </c>
      <c r="H185" s="73">
        <f t="shared" si="136"/>
        <v>0</v>
      </c>
      <c r="I185" s="194"/>
      <c r="J185" s="194"/>
      <c r="K185" s="194"/>
      <c r="L185" s="73"/>
      <c r="M185" s="73"/>
      <c r="N185" s="73"/>
    </row>
    <row r="186" spans="1:16" hidden="1" x14ac:dyDescent="0.25">
      <c r="A186" s="91"/>
      <c r="B186" s="92"/>
      <c r="C186" s="90"/>
      <c r="D186" s="90"/>
      <c r="E186" s="90"/>
      <c r="F186" s="73">
        <f t="shared" si="136"/>
        <v>0</v>
      </c>
      <c r="G186" s="73">
        <f t="shared" si="136"/>
        <v>0</v>
      </c>
      <c r="H186" s="73">
        <f t="shared" si="136"/>
        <v>0</v>
      </c>
      <c r="I186" s="194"/>
      <c r="J186" s="194"/>
      <c r="K186" s="194"/>
      <c r="L186" s="73"/>
      <c r="M186" s="73"/>
      <c r="N186" s="73"/>
    </row>
    <row r="187" spans="1:16" hidden="1" x14ac:dyDescent="0.25">
      <c r="A187" s="91"/>
      <c r="B187" s="92"/>
      <c r="C187" s="90"/>
      <c r="D187" s="90"/>
      <c r="E187" s="90"/>
      <c r="F187" s="73">
        <f t="shared" si="136"/>
        <v>0</v>
      </c>
      <c r="G187" s="73">
        <f t="shared" si="136"/>
        <v>0</v>
      </c>
      <c r="H187" s="73">
        <f t="shared" si="136"/>
        <v>0</v>
      </c>
      <c r="I187" s="194"/>
      <c r="J187" s="194"/>
      <c r="K187" s="194"/>
      <c r="L187" s="73"/>
      <c r="M187" s="73"/>
      <c r="N187" s="73"/>
    </row>
    <row r="188" spans="1:16" hidden="1" x14ac:dyDescent="0.25">
      <c r="A188" s="91"/>
      <c r="B188" s="92"/>
      <c r="C188" s="90"/>
      <c r="D188" s="90"/>
      <c r="E188" s="90"/>
      <c r="F188" s="73">
        <f t="shared" si="136"/>
        <v>0</v>
      </c>
      <c r="G188" s="73">
        <f t="shared" si="136"/>
        <v>0</v>
      </c>
      <c r="H188" s="73">
        <f t="shared" si="136"/>
        <v>0</v>
      </c>
      <c r="I188" s="194"/>
      <c r="J188" s="194"/>
      <c r="K188" s="194"/>
      <c r="L188" s="73"/>
      <c r="M188" s="73"/>
      <c r="N188" s="73"/>
    </row>
    <row r="189" spans="1:16" hidden="1" x14ac:dyDescent="0.25">
      <c r="A189" s="91"/>
      <c r="B189" s="92"/>
      <c r="C189" s="90"/>
      <c r="D189" s="90"/>
      <c r="E189" s="90"/>
      <c r="F189" s="73">
        <f t="shared" si="136"/>
        <v>0</v>
      </c>
      <c r="G189" s="73">
        <f t="shared" si="136"/>
        <v>0</v>
      </c>
      <c r="H189" s="73">
        <f t="shared" si="136"/>
        <v>0</v>
      </c>
      <c r="I189" s="194"/>
      <c r="J189" s="194"/>
      <c r="K189" s="194"/>
      <c r="L189" s="73"/>
      <c r="M189" s="73"/>
      <c r="N189" s="73"/>
    </row>
    <row r="190" spans="1:16" hidden="1" x14ac:dyDescent="0.25">
      <c r="A190" s="91"/>
      <c r="B190" s="92"/>
      <c r="C190" s="90"/>
      <c r="D190" s="90"/>
      <c r="E190" s="90"/>
      <c r="F190" s="73">
        <f t="shared" si="136"/>
        <v>0</v>
      </c>
      <c r="G190" s="73">
        <f t="shared" si="136"/>
        <v>0</v>
      </c>
      <c r="H190" s="73">
        <f t="shared" si="136"/>
        <v>0</v>
      </c>
      <c r="I190" s="194"/>
      <c r="J190" s="194"/>
      <c r="K190" s="194"/>
      <c r="L190" s="73"/>
      <c r="M190" s="73"/>
      <c r="N190" s="73"/>
    </row>
    <row r="191" spans="1:16" hidden="1" x14ac:dyDescent="0.25">
      <c r="A191" s="91"/>
      <c r="B191" s="92"/>
      <c r="C191" s="90"/>
      <c r="D191" s="90"/>
      <c r="E191" s="90"/>
      <c r="F191" s="73">
        <f t="shared" si="136"/>
        <v>0</v>
      </c>
      <c r="G191" s="73">
        <f t="shared" si="136"/>
        <v>0</v>
      </c>
      <c r="H191" s="73">
        <f t="shared" si="136"/>
        <v>0</v>
      </c>
      <c r="I191" s="194"/>
      <c r="J191" s="194"/>
      <c r="K191" s="194"/>
      <c r="L191" s="73"/>
      <c r="M191" s="73"/>
      <c r="N191" s="73"/>
    </row>
    <row r="192" spans="1:16" hidden="1" x14ac:dyDescent="0.25">
      <c r="A192" s="91"/>
      <c r="B192" s="92"/>
      <c r="C192" s="90"/>
      <c r="D192" s="90"/>
      <c r="E192" s="90"/>
      <c r="F192" s="73">
        <f t="shared" si="136"/>
        <v>0</v>
      </c>
      <c r="G192" s="73">
        <f t="shared" si="136"/>
        <v>0</v>
      </c>
      <c r="H192" s="73">
        <f t="shared" si="136"/>
        <v>0</v>
      </c>
      <c r="I192" s="194"/>
      <c r="J192" s="194"/>
      <c r="K192" s="194"/>
      <c r="L192" s="73"/>
      <c r="M192" s="73"/>
      <c r="N192" s="73"/>
    </row>
    <row r="193" spans="1:16" hidden="1" x14ac:dyDescent="0.25">
      <c r="A193" s="91"/>
      <c r="B193" s="92"/>
      <c r="C193" s="90"/>
      <c r="D193" s="90"/>
      <c r="E193" s="90"/>
      <c r="F193" s="73">
        <f t="shared" si="136"/>
        <v>0</v>
      </c>
      <c r="G193" s="73">
        <f t="shared" si="136"/>
        <v>0</v>
      </c>
      <c r="H193" s="73">
        <f t="shared" si="136"/>
        <v>0</v>
      </c>
      <c r="I193" s="194"/>
      <c r="J193" s="194"/>
      <c r="K193" s="194"/>
      <c r="L193" s="73"/>
      <c r="M193" s="73"/>
      <c r="N193" s="73"/>
    </row>
    <row r="194" spans="1:16" hidden="1" x14ac:dyDescent="0.25">
      <c r="A194" s="91"/>
      <c r="B194" s="92"/>
      <c r="C194" s="90"/>
      <c r="D194" s="90"/>
      <c r="E194" s="90"/>
      <c r="F194" s="73">
        <f t="shared" si="136"/>
        <v>0</v>
      </c>
      <c r="G194" s="73">
        <f t="shared" si="136"/>
        <v>0</v>
      </c>
      <c r="H194" s="73">
        <f t="shared" si="136"/>
        <v>0</v>
      </c>
      <c r="I194" s="194"/>
      <c r="J194" s="194"/>
      <c r="K194" s="194"/>
      <c r="L194" s="73"/>
      <c r="M194" s="73"/>
      <c r="N194" s="73"/>
    </row>
    <row r="195" spans="1:16" hidden="1" x14ac:dyDescent="0.25">
      <c r="A195" s="91"/>
      <c r="B195" s="92"/>
      <c r="C195" s="90"/>
      <c r="D195" s="90"/>
      <c r="E195" s="90"/>
      <c r="F195" s="73">
        <f t="shared" si="136"/>
        <v>0</v>
      </c>
      <c r="G195" s="73">
        <f t="shared" si="136"/>
        <v>0</v>
      </c>
      <c r="H195" s="73">
        <f t="shared" si="136"/>
        <v>0</v>
      </c>
      <c r="I195" s="194"/>
      <c r="J195" s="194"/>
      <c r="K195" s="194"/>
      <c r="L195" s="73"/>
      <c r="M195" s="73"/>
      <c r="N195" s="73"/>
    </row>
    <row r="196" spans="1:16" x14ac:dyDescent="0.25">
      <c r="A196" s="91"/>
      <c r="B196" s="92"/>
      <c r="C196" s="90"/>
      <c r="D196" s="90"/>
      <c r="E196" s="90"/>
      <c r="F196" s="73">
        <f t="shared" si="136"/>
        <v>0</v>
      </c>
      <c r="G196" s="73">
        <f t="shared" si="136"/>
        <v>0</v>
      </c>
      <c r="H196" s="73">
        <f t="shared" si="136"/>
        <v>0</v>
      </c>
      <c r="I196" s="194"/>
      <c r="J196" s="194"/>
      <c r="K196" s="194"/>
      <c r="L196" s="73"/>
      <c r="M196" s="73"/>
      <c r="N196" s="73"/>
    </row>
    <row r="197" spans="1:16" s="65" customFormat="1" ht="14.25" x14ac:dyDescent="0.2">
      <c r="A197" s="67" t="s">
        <v>404</v>
      </c>
      <c r="B197" s="68"/>
      <c r="C197" s="69" t="s">
        <v>32</v>
      </c>
      <c r="D197" s="69" t="s">
        <v>32</v>
      </c>
      <c r="E197" s="69" t="s">
        <v>32</v>
      </c>
      <c r="F197" s="66">
        <f>SUM(F198,F203,F208,F215,F235,F239,F243)</f>
        <v>1630883.6999999997</v>
      </c>
      <c r="G197" s="66">
        <f t="shared" ref="G197:K197" si="137">SUM(G198,G203,G208,G215,G235,G239,G243)</f>
        <v>0</v>
      </c>
      <c r="H197" s="66">
        <f t="shared" si="137"/>
        <v>0</v>
      </c>
      <c r="I197" s="195">
        <f t="shared" si="137"/>
        <v>1623371.6999999997</v>
      </c>
      <c r="J197" s="66">
        <f t="shared" si="137"/>
        <v>0</v>
      </c>
      <c r="K197" s="66">
        <f t="shared" si="137"/>
        <v>0</v>
      </c>
      <c r="L197" s="66">
        <f>SUM(L198,L203,L208,L215,L235,L239,L243)</f>
        <v>7512</v>
      </c>
      <c r="M197" s="66">
        <f t="shared" ref="M197:N197" si="138">SUM(M198,M203,M208,M215,M235,M239)</f>
        <v>0</v>
      </c>
      <c r="N197" s="66">
        <f t="shared" si="138"/>
        <v>0</v>
      </c>
    </row>
    <row r="198" spans="1:16" s="58" customFormat="1" ht="14.25" x14ac:dyDescent="0.2">
      <c r="A198" s="254" t="s">
        <v>749</v>
      </c>
      <c r="B198" s="254"/>
      <c r="C198" s="287"/>
      <c r="D198" s="287"/>
      <c r="E198" s="287"/>
      <c r="F198" s="288">
        <f>SUM(F199:F202)</f>
        <v>8100</v>
      </c>
      <c r="G198" s="288">
        <f t="shared" ref="G198:H198" si="139">SUM(G199:G202)</f>
        <v>0</v>
      </c>
      <c r="H198" s="288">
        <f t="shared" si="139"/>
        <v>0</v>
      </c>
      <c r="I198" s="288">
        <f>SUM(I199:I202)</f>
        <v>8100</v>
      </c>
      <c r="J198" s="288">
        <f t="shared" ref="J198:K198" si="140">SUM(J199:J202)</f>
        <v>0</v>
      </c>
      <c r="K198" s="288">
        <f t="shared" si="140"/>
        <v>0</v>
      </c>
      <c r="L198" s="288">
        <f>SUM(L199:L202)</f>
        <v>0</v>
      </c>
      <c r="M198" s="288">
        <f t="shared" ref="M198:N198" si="141">SUM(M199:M202)</f>
        <v>0</v>
      </c>
      <c r="N198" s="288">
        <f t="shared" si="141"/>
        <v>0</v>
      </c>
      <c r="O198" s="70" t="s">
        <v>723</v>
      </c>
      <c r="P198" s="70" t="s">
        <v>722</v>
      </c>
    </row>
    <row r="199" spans="1:16" x14ac:dyDescent="0.25">
      <c r="A199" s="91" t="s">
        <v>671</v>
      </c>
      <c r="B199" s="92"/>
      <c r="C199" s="90" t="s">
        <v>314</v>
      </c>
      <c r="D199" s="90" t="s">
        <v>324</v>
      </c>
      <c r="E199" s="90" t="s">
        <v>463</v>
      </c>
      <c r="F199" s="73">
        <f t="shared" ref="F199" si="142">I199+L199</f>
        <v>0</v>
      </c>
      <c r="G199" s="73">
        <f t="shared" ref="G199" si="143">J199+M199</f>
        <v>0</v>
      </c>
      <c r="H199" s="73">
        <f t="shared" ref="H199" si="144">K199+N199</f>
        <v>0</v>
      </c>
      <c r="I199" s="194">
        <f>1000-1000</f>
        <v>0</v>
      </c>
      <c r="J199" s="194"/>
      <c r="K199" s="194"/>
      <c r="L199" s="73"/>
      <c r="M199" s="73"/>
      <c r="N199" s="73"/>
    </row>
    <row r="200" spans="1:16" x14ac:dyDescent="0.25">
      <c r="A200" s="91" t="s">
        <v>672</v>
      </c>
      <c r="B200" s="92"/>
      <c r="C200" s="90" t="s">
        <v>314</v>
      </c>
      <c r="D200" s="90" t="s">
        <v>324</v>
      </c>
      <c r="E200" s="90" t="s">
        <v>392</v>
      </c>
      <c r="F200" s="73">
        <f t="shared" ref="F200:H202" si="145">I200+L200</f>
        <v>2150</v>
      </c>
      <c r="G200" s="73">
        <f t="shared" si="145"/>
        <v>0</v>
      </c>
      <c r="H200" s="73">
        <f t="shared" si="145"/>
        <v>0</v>
      </c>
      <c r="I200" s="194">
        <f>1150+1000</f>
        <v>2150</v>
      </c>
      <c r="J200" s="194"/>
      <c r="K200" s="194"/>
      <c r="L200" s="73"/>
      <c r="M200" s="73"/>
      <c r="N200" s="73"/>
    </row>
    <row r="201" spans="1:16" x14ac:dyDescent="0.25">
      <c r="A201" s="91" t="s">
        <v>674</v>
      </c>
      <c r="B201" s="92"/>
      <c r="C201" s="90" t="s">
        <v>314</v>
      </c>
      <c r="D201" s="90" t="s">
        <v>324</v>
      </c>
      <c r="E201" s="90" t="s">
        <v>392</v>
      </c>
      <c r="F201" s="73">
        <f t="shared" ref="F201" si="146">I201+L201</f>
        <v>1700</v>
      </c>
      <c r="G201" s="73">
        <f t="shared" ref="G201" si="147">J201+M201</f>
        <v>0</v>
      </c>
      <c r="H201" s="73">
        <f t="shared" ref="H201" si="148">K201+N201</f>
        <v>0</v>
      </c>
      <c r="I201" s="194">
        <v>1700</v>
      </c>
      <c r="J201" s="194"/>
      <c r="K201" s="194"/>
      <c r="L201" s="73"/>
      <c r="M201" s="73"/>
      <c r="N201" s="73"/>
    </row>
    <row r="202" spans="1:16" x14ac:dyDescent="0.25">
      <c r="A202" s="91" t="s">
        <v>675</v>
      </c>
      <c r="B202" s="92"/>
      <c r="C202" s="90" t="s">
        <v>314</v>
      </c>
      <c r="D202" s="90" t="s">
        <v>324</v>
      </c>
      <c r="E202" s="90" t="s">
        <v>673</v>
      </c>
      <c r="F202" s="73">
        <f t="shared" si="145"/>
        <v>4250</v>
      </c>
      <c r="G202" s="73">
        <f t="shared" si="145"/>
        <v>0</v>
      </c>
      <c r="H202" s="73">
        <f t="shared" si="145"/>
        <v>0</v>
      </c>
      <c r="I202" s="194">
        <v>4250</v>
      </c>
      <c r="J202" s="194"/>
      <c r="K202" s="194"/>
      <c r="L202" s="73"/>
      <c r="M202" s="73"/>
      <c r="N202" s="73"/>
    </row>
    <row r="203" spans="1:16" s="58" customFormat="1" ht="14.25" x14ac:dyDescent="0.2">
      <c r="A203" s="255" t="s">
        <v>750</v>
      </c>
      <c r="B203" s="289"/>
      <c r="C203" s="287"/>
      <c r="D203" s="287"/>
      <c r="E203" s="287"/>
      <c r="F203" s="288">
        <f t="shared" ref="F203:N203" si="149">SUM(F204:F207)</f>
        <v>286890.84999999998</v>
      </c>
      <c r="G203" s="288">
        <f t="shared" si="149"/>
        <v>0</v>
      </c>
      <c r="H203" s="288">
        <f t="shared" si="149"/>
        <v>0</v>
      </c>
      <c r="I203" s="288">
        <f t="shared" si="149"/>
        <v>286890.84999999998</v>
      </c>
      <c r="J203" s="288">
        <f t="shared" si="149"/>
        <v>0</v>
      </c>
      <c r="K203" s="288">
        <f t="shared" si="149"/>
        <v>0</v>
      </c>
      <c r="L203" s="288">
        <f t="shared" si="149"/>
        <v>0</v>
      </c>
      <c r="M203" s="288">
        <f t="shared" si="149"/>
        <v>0</v>
      </c>
      <c r="N203" s="288">
        <f t="shared" si="149"/>
        <v>0</v>
      </c>
      <c r="O203" s="70" t="s">
        <v>724</v>
      </c>
      <c r="P203" s="286" t="s">
        <v>725</v>
      </c>
    </row>
    <row r="204" spans="1:16" x14ac:dyDescent="0.25">
      <c r="A204" s="91" t="s">
        <v>739</v>
      </c>
      <c r="B204" s="92"/>
      <c r="C204" s="90" t="s">
        <v>314</v>
      </c>
      <c r="D204" s="90" t="s">
        <v>324</v>
      </c>
      <c r="E204" s="200" t="s">
        <v>386</v>
      </c>
      <c r="F204" s="73">
        <f t="shared" ref="F204:H207" si="150">I204+L204</f>
        <v>226729.27</v>
      </c>
      <c r="G204" s="73">
        <f t="shared" si="150"/>
        <v>0</v>
      </c>
      <c r="H204" s="73">
        <f t="shared" si="150"/>
        <v>0</v>
      </c>
      <c r="I204" s="194">
        <f>248333.33-21604.06</f>
        <v>226729.27</v>
      </c>
      <c r="J204" s="194"/>
      <c r="K204" s="194"/>
      <c r="L204" s="73"/>
      <c r="M204" s="73"/>
      <c r="N204" s="73"/>
    </row>
    <row r="205" spans="1:16" x14ac:dyDescent="0.25">
      <c r="A205" s="91" t="s">
        <v>740</v>
      </c>
      <c r="B205" s="92"/>
      <c r="C205" s="90" t="s">
        <v>314</v>
      </c>
      <c r="D205" s="90" t="s">
        <v>324</v>
      </c>
      <c r="E205" s="90" t="s">
        <v>317</v>
      </c>
      <c r="F205" s="73">
        <f t="shared" si="150"/>
        <v>60161.58</v>
      </c>
      <c r="G205" s="73">
        <f t="shared" si="150"/>
        <v>0</v>
      </c>
      <c r="H205" s="73">
        <f t="shared" si="150"/>
        <v>0</v>
      </c>
      <c r="I205" s="194">
        <f>63011.04-2849.46</f>
        <v>60161.58</v>
      </c>
      <c r="J205" s="194"/>
      <c r="K205" s="194"/>
      <c r="L205" s="194"/>
      <c r="M205" s="73"/>
      <c r="N205" s="73"/>
    </row>
    <row r="206" spans="1:16" x14ac:dyDescent="0.25">
      <c r="A206" s="91"/>
      <c r="B206" s="92"/>
      <c r="C206" s="90"/>
      <c r="D206" s="90"/>
      <c r="E206" s="90"/>
      <c r="F206" s="73">
        <f t="shared" si="150"/>
        <v>0</v>
      </c>
      <c r="G206" s="73">
        <f t="shared" si="150"/>
        <v>0</v>
      </c>
      <c r="H206" s="73">
        <f t="shared" si="150"/>
        <v>0</v>
      </c>
      <c r="I206" s="194"/>
      <c r="J206" s="194"/>
      <c r="K206" s="194"/>
      <c r="L206" s="73"/>
      <c r="M206" s="73"/>
      <c r="N206" s="73"/>
    </row>
    <row r="207" spans="1:16" x14ac:dyDescent="0.25">
      <c r="A207" s="91"/>
      <c r="B207" s="92"/>
      <c r="C207" s="90"/>
      <c r="D207" s="90"/>
      <c r="E207" s="90"/>
      <c r="F207" s="73">
        <f t="shared" si="150"/>
        <v>0</v>
      </c>
      <c r="G207" s="73">
        <f t="shared" si="150"/>
        <v>0</v>
      </c>
      <c r="H207" s="73">
        <f t="shared" si="150"/>
        <v>0</v>
      </c>
      <c r="I207" s="194"/>
      <c r="J207" s="194"/>
      <c r="K207" s="194"/>
      <c r="L207" s="73"/>
      <c r="M207" s="73"/>
      <c r="N207" s="73"/>
    </row>
    <row r="208" spans="1:16" s="58" customFormat="1" ht="14.25" x14ac:dyDescent="0.2">
      <c r="A208" s="157"/>
      <c r="B208" s="157"/>
      <c r="C208" s="287" t="s">
        <v>314</v>
      </c>
      <c r="D208" s="287"/>
      <c r="E208" s="287"/>
      <c r="F208" s="288">
        <f>SUM(F209:F214)</f>
        <v>7512</v>
      </c>
      <c r="G208" s="288">
        <f t="shared" ref="G208:H208" si="151">SUM(G209:G214)</f>
        <v>0</v>
      </c>
      <c r="H208" s="288">
        <f t="shared" si="151"/>
        <v>0</v>
      </c>
      <c r="I208" s="288">
        <f>SUM(I209:I214)</f>
        <v>0</v>
      </c>
      <c r="J208" s="288">
        <f t="shared" ref="J208:K208" si="152">SUM(J209:J214)</f>
        <v>0</v>
      </c>
      <c r="K208" s="288">
        <f t="shared" si="152"/>
        <v>0</v>
      </c>
      <c r="L208" s="290">
        <f>SUM(L209:L214)</f>
        <v>7512</v>
      </c>
      <c r="M208" s="288">
        <f t="shared" ref="M208:N208" si="153">SUM(M209:M214)</f>
        <v>0</v>
      </c>
      <c r="N208" s="288">
        <f t="shared" si="153"/>
        <v>0</v>
      </c>
      <c r="O208" s="70" t="s">
        <v>727</v>
      </c>
      <c r="P208" s="286" t="s">
        <v>726</v>
      </c>
    </row>
    <row r="209" spans="1:16" x14ac:dyDescent="0.25">
      <c r="A209" s="91" t="s">
        <v>668</v>
      </c>
      <c r="B209" s="92"/>
      <c r="C209" s="90"/>
      <c r="D209" s="90"/>
      <c r="E209" s="90" t="s">
        <v>333</v>
      </c>
      <c r="F209" s="73">
        <f t="shared" ref="F209:H214" si="154">I209+L209</f>
        <v>0</v>
      </c>
      <c r="G209" s="73">
        <f t="shared" si="154"/>
        <v>0</v>
      </c>
      <c r="H209" s="73">
        <f t="shared" si="154"/>
        <v>0</v>
      </c>
      <c r="I209" s="194"/>
      <c r="J209" s="194"/>
      <c r="K209" s="194"/>
      <c r="L209" s="73"/>
      <c r="M209" s="73"/>
      <c r="N209" s="73"/>
    </row>
    <row r="210" spans="1:16" x14ac:dyDescent="0.25">
      <c r="A210" s="91" t="s">
        <v>669</v>
      </c>
      <c r="B210" s="92"/>
      <c r="C210" s="90"/>
      <c r="D210" s="90"/>
      <c r="E210" s="90" t="s">
        <v>339</v>
      </c>
      <c r="F210" s="73">
        <f t="shared" si="154"/>
        <v>0</v>
      </c>
      <c r="G210" s="73">
        <f t="shared" si="154"/>
        <v>0</v>
      </c>
      <c r="H210" s="73">
        <f t="shared" si="154"/>
        <v>0</v>
      </c>
      <c r="I210" s="194"/>
      <c r="J210" s="194"/>
      <c r="K210" s="194"/>
      <c r="L210" s="73"/>
      <c r="M210" s="73"/>
      <c r="N210" s="73"/>
    </row>
    <row r="211" spans="1:16" ht="14.25" customHeight="1" x14ac:dyDescent="0.25">
      <c r="A211" s="88" t="s">
        <v>690</v>
      </c>
      <c r="B211" s="92"/>
      <c r="C211" s="90"/>
      <c r="D211" s="90"/>
      <c r="E211" s="90" t="s">
        <v>317</v>
      </c>
      <c r="F211" s="73">
        <f t="shared" ref="F211:F212" si="155">I211+L211</f>
        <v>0</v>
      </c>
      <c r="G211" s="73">
        <f t="shared" ref="G211:G212" si="156">J211+M211</f>
        <v>0</v>
      </c>
      <c r="H211" s="73">
        <f t="shared" ref="H211:H212" si="157">K211+N211</f>
        <v>0</v>
      </c>
      <c r="I211" s="194"/>
      <c r="J211" s="194"/>
      <c r="K211" s="194"/>
      <c r="L211" s="73"/>
      <c r="M211" s="73"/>
      <c r="N211" s="73"/>
    </row>
    <row r="212" spans="1:16" x14ac:dyDescent="0.25">
      <c r="A212" s="91" t="s">
        <v>689</v>
      </c>
      <c r="B212" s="92"/>
      <c r="C212" s="90"/>
      <c r="D212" s="90"/>
      <c r="E212" s="90" t="s">
        <v>317</v>
      </c>
      <c r="F212" s="73">
        <f t="shared" si="155"/>
        <v>7512</v>
      </c>
      <c r="G212" s="73">
        <f t="shared" si="156"/>
        <v>0</v>
      </c>
      <c r="H212" s="73">
        <f t="shared" si="157"/>
        <v>0</v>
      </c>
      <c r="I212" s="194"/>
      <c r="J212" s="194"/>
      <c r="K212" s="194"/>
      <c r="L212" s="194">
        <v>7512</v>
      </c>
      <c r="M212" s="73"/>
      <c r="N212" s="73"/>
    </row>
    <row r="213" spans="1:16" x14ac:dyDescent="0.25">
      <c r="A213" s="91"/>
      <c r="B213" s="92"/>
      <c r="C213" s="90"/>
      <c r="D213" s="90"/>
      <c r="E213" s="90"/>
      <c r="F213" s="73"/>
      <c r="G213" s="73"/>
      <c r="H213" s="73"/>
      <c r="I213" s="194"/>
      <c r="J213" s="194"/>
      <c r="K213" s="194"/>
      <c r="L213" s="73"/>
      <c r="M213" s="73"/>
      <c r="N213" s="73"/>
    </row>
    <row r="214" spans="1:16" x14ac:dyDescent="0.25">
      <c r="A214" s="91"/>
      <c r="B214" s="92"/>
      <c r="C214" s="90"/>
      <c r="D214" s="90"/>
      <c r="E214" s="90"/>
      <c r="F214" s="73">
        <f t="shared" si="154"/>
        <v>0</v>
      </c>
      <c r="G214" s="73">
        <f t="shared" si="154"/>
        <v>0</v>
      </c>
      <c r="H214" s="73">
        <f t="shared" si="154"/>
        <v>0</v>
      </c>
      <c r="I214" s="194"/>
      <c r="J214" s="194"/>
      <c r="K214" s="194"/>
      <c r="L214" s="73"/>
      <c r="M214" s="73"/>
      <c r="N214" s="73"/>
    </row>
    <row r="215" spans="1:16" s="58" customFormat="1" ht="14.25" x14ac:dyDescent="0.2">
      <c r="A215" s="157" t="s">
        <v>708</v>
      </c>
      <c r="B215" s="157"/>
      <c r="C215" s="287"/>
      <c r="D215" s="287"/>
      <c r="E215" s="287"/>
      <c r="F215" s="288">
        <f t="shared" ref="F215:N215" si="158">SUM(F216:F234)</f>
        <v>1141509.47</v>
      </c>
      <c r="G215" s="288">
        <f t="shared" si="158"/>
        <v>0</v>
      </c>
      <c r="H215" s="288">
        <f t="shared" si="158"/>
        <v>0</v>
      </c>
      <c r="I215" s="288">
        <f>SUM(I216:I234)</f>
        <v>1141509.47</v>
      </c>
      <c r="J215" s="288">
        <f t="shared" si="158"/>
        <v>0</v>
      </c>
      <c r="K215" s="288">
        <f t="shared" si="158"/>
        <v>0</v>
      </c>
      <c r="L215" s="288">
        <f t="shared" si="158"/>
        <v>0</v>
      </c>
      <c r="M215" s="288">
        <f t="shared" si="158"/>
        <v>0</v>
      </c>
      <c r="N215" s="288">
        <f t="shared" si="158"/>
        <v>0</v>
      </c>
      <c r="O215" s="70" t="s">
        <v>728</v>
      </c>
      <c r="P215" s="286" t="s">
        <v>747</v>
      </c>
    </row>
    <row r="216" spans="1:16" x14ac:dyDescent="0.25">
      <c r="A216" s="199" t="s">
        <v>670</v>
      </c>
      <c r="B216" s="199"/>
      <c r="C216" s="200" t="s">
        <v>314</v>
      </c>
      <c r="D216" s="200" t="s">
        <v>324</v>
      </c>
      <c r="E216" s="200" t="s">
        <v>339</v>
      </c>
      <c r="F216" s="194">
        <f t="shared" ref="F216:H234" si="159">I216+L216</f>
        <v>5460</v>
      </c>
      <c r="G216" s="194">
        <f t="shared" si="159"/>
        <v>0</v>
      </c>
      <c r="H216" s="194">
        <f t="shared" si="159"/>
        <v>0</v>
      </c>
      <c r="I216" s="73">
        <v>5460</v>
      </c>
      <c r="J216" s="194"/>
      <c r="K216" s="194"/>
      <c r="L216" s="73"/>
      <c r="M216" s="73"/>
      <c r="N216" s="73"/>
    </row>
    <row r="217" spans="1:16" x14ac:dyDescent="0.25">
      <c r="A217" s="199" t="s">
        <v>707</v>
      </c>
      <c r="B217" s="199"/>
      <c r="C217" s="200" t="s">
        <v>314</v>
      </c>
      <c r="D217" s="200" t="s">
        <v>324</v>
      </c>
      <c r="E217" s="200" t="s">
        <v>339</v>
      </c>
      <c r="F217" s="73">
        <f t="shared" si="159"/>
        <v>637740.18000000005</v>
      </c>
      <c r="G217" s="73">
        <f t="shared" si="159"/>
        <v>0</v>
      </c>
      <c r="H217" s="73">
        <f t="shared" si="159"/>
        <v>0</v>
      </c>
      <c r="I217" s="194">
        <f>698629-60888.82</f>
        <v>637740.18000000005</v>
      </c>
      <c r="J217" s="194"/>
      <c r="K217" s="194"/>
      <c r="L217" s="73"/>
      <c r="M217" s="73"/>
      <c r="N217" s="73"/>
    </row>
    <row r="218" spans="1:16" x14ac:dyDescent="0.25">
      <c r="A218" s="199" t="s">
        <v>709</v>
      </c>
      <c r="B218" s="92"/>
      <c r="C218" s="90" t="s">
        <v>314</v>
      </c>
      <c r="D218" s="90" t="s">
        <v>324</v>
      </c>
      <c r="E218" s="90" t="s">
        <v>317</v>
      </c>
      <c r="F218" s="73">
        <f t="shared" si="159"/>
        <v>498309.29</v>
      </c>
      <c r="G218" s="73">
        <f t="shared" si="159"/>
        <v>0</v>
      </c>
      <c r="H218" s="73">
        <f t="shared" si="159"/>
        <v>0</v>
      </c>
      <c r="I218" s="194">
        <f>515000-16690.71</f>
        <v>498309.29</v>
      </c>
      <c r="J218" s="194"/>
      <c r="K218" s="194"/>
      <c r="L218" s="73"/>
      <c r="M218" s="73"/>
      <c r="N218" s="73"/>
    </row>
    <row r="219" spans="1:16" hidden="1" x14ac:dyDescent="0.25">
      <c r="A219" s="91"/>
      <c r="B219" s="92"/>
      <c r="C219" s="90"/>
      <c r="D219" s="90"/>
      <c r="E219" s="90"/>
      <c r="F219" s="73">
        <f t="shared" si="159"/>
        <v>0</v>
      </c>
      <c r="G219" s="73">
        <f t="shared" si="159"/>
        <v>0</v>
      </c>
      <c r="H219" s="73">
        <f t="shared" si="159"/>
        <v>0</v>
      </c>
      <c r="I219" s="194"/>
      <c r="J219" s="194"/>
      <c r="K219" s="194"/>
      <c r="L219" s="73"/>
      <c r="M219" s="73"/>
      <c r="N219" s="73"/>
    </row>
    <row r="220" spans="1:16" hidden="1" x14ac:dyDescent="0.25">
      <c r="A220" s="91"/>
      <c r="B220" s="92"/>
      <c r="C220" s="90"/>
      <c r="D220" s="90"/>
      <c r="E220" s="90"/>
      <c r="F220" s="73">
        <f t="shared" si="159"/>
        <v>0</v>
      </c>
      <c r="G220" s="73">
        <f t="shared" si="159"/>
        <v>0</v>
      </c>
      <c r="H220" s="73">
        <f t="shared" si="159"/>
        <v>0</v>
      </c>
      <c r="I220" s="194"/>
      <c r="J220" s="194"/>
      <c r="K220" s="194"/>
      <c r="L220" s="73"/>
      <c r="M220" s="73"/>
      <c r="N220" s="73"/>
    </row>
    <row r="221" spans="1:16" hidden="1" x14ac:dyDescent="0.25">
      <c r="A221" s="91"/>
      <c r="B221" s="92"/>
      <c r="C221" s="90"/>
      <c r="D221" s="90"/>
      <c r="E221" s="90"/>
      <c r="F221" s="73">
        <f t="shared" si="159"/>
        <v>0</v>
      </c>
      <c r="G221" s="73">
        <f t="shared" si="159"/>
        <v>0</v>
      </c>
      <c r="H221" s="73">
        <f t="shared" si="159"/>
        <v>0</v>
      </c>
      <c r="I221" s="194"/>
      <c r="J221" s="194"/>
      <c r="K221" s="194"/>
      <c r="L221" s="73"/>
      <c r="M221" s="73"/>
      <c r="N221" s="73"/>
    </row>
    <row r="222" spans="1:16" hidden="1" x14ac:dyDescent="0.25">
      <c r="A222" s="91"/>
      <c r="B222" s="92"/>
      <c r="C222" s="90"/>
      <c r="D222" s="90"/>
      <c r="E222" s="90"/>
      <c r="F222" s="73">
        <f t="shared" si="159"/>
        <v>0</v>
      </c>
      <c r="G222" s="73">
        <f t="shared" si="159"/>
        <v>0</v>
      </c>
      <c r="H222" s="73">
        <f t="shared" si="159"/>
        <v>0</v>
      </c>
      <c r="I222" s="194"/>
      <c r="J222" s="194"/>
      <c r="K222" s="194"/>
      <c r="L222" s="73"/>
      <c r="M222" s="73"/>
      <c r="N222" s="73"/>
    </row>
    <row r="223" spans="1:16" hidden="1" x14ac:dyDescent="0.25">
      <c r="A223" s="91"/>
      <c r="B223" s="92"/>
      <c r="C223" s="90"/>
      <c r="D223" s="90"/>
      <c r="E223" s="90"/>
      <c r="F223" s="73">
        <f t="shared" si="159"/>
        <v>0</v>
      </c>
      <c r="G223" s="73">
        <f t="shared" si="159"/>
        <v>0</v>
      </c>
      <c r="H223" s="73">
        <f t="shared" si="159"/>
        <v>0</v>
      </c>
      <c r="I223" s="194"/>
      <c r="J223" s="194"/>
      <c r="K223" s="194"/>
      <c r="L223" s="73"/>
      <c r="M223" s="73"/>
      <c r="N223" s="73"/>
    </row>
    <row r="224" spans="1:16" hidden="1" x14ac:dyDescent="0.25">
      <c r="A224" s="91"/>
      <c r="B224" s="92"/>
      <c r="C224" s="90"/>
      <c r="D224" s="90"/>
      <c r="E224" s="90"/>
      <c r="F224" s="73">
        <f t="shared" si="159"/>
        <v>0</v>
      </c>
      <c r="G224" s="73">
        <f t="shared" si="159"/>
        <v>0</v>
      </c>
      <c r="H224" s="73">
        <f t="shared" si="159"/>
        <v>0</v>
      </c>
      <c r="I224" s="194"/>
      <c r="J224" s="194"/>
      <c r="K224" s="194"/>
      <c r="L224" s="73"/>
      <c r="M224" s="73"/>
      <c r="N224" s="73"/>
    </row>
    <row r="225" spans="1:16" hidden="1" x14ac:dyDescent="0.25">
      <c r="A225" s="91"/>
      <c r="B225" s="92"/>
      <c r="C225" s="90"/>
      <c r="D225" s="90"/>
      <c r="E225" s="90"/>
      <c r="F225" s="73">
        <f t="shared" si="159"/>
        <v>0</v>
      </c>
      <c r="G225" s="73">
        <f t="shared" si="159"/>
        <v>0</v>
      </c>
      <c r="H225" s="73">
        <f t="shared" si="159"/>
        <v>0</v>
      </c>
      <c r="I225" s="194"/>
      <c r="J225" s="194"/>
      <c r="K225" s="194"/>
      <c r="L225" s="73"/>
      <c r="M225" s="73"/>
      <c r="N225" s="73"/>
    </row>
    <row r="226" spans="1:16" hidden="1" x14ac:dyDescent="0.25">
      <c r="A226" s="91"/>
      <c r="B226" s="92"/>
      <c r="C226" s="90"/>
      <c r="D226" s="90"/>
      <c r="E226" s="90"/>
      <c r="F226" s="73">
        <f t="shared" si="159"/>
        <v>0</v>
      </c>
      <c r="G226" s="73">
        <f t="shared" si="159"/>
        <v>0</v>
      </c>
      <c r="H226" s="73">
        <f t="shared" si="159"/>
        <v>0</v>
      </c>
      <c r="I226" s="194"/>
      <c r="J226" s="194"/>
      <c r="K226" s="194"/>
      <c r="L226" s="73"/>
      <c r="M226" s="73"/>
      <c r="N226" s="73"/>
    </row>
    <row r="227" spans="1:16" hidden="1" x14ac:dyDescent="0.25">
      <c r="A227" s="91"/>
      <c r="B227" s="92"/>
      <c r="C227" s="90"/>
      <c r="D227" s="90"/>
      <c r="E227" s="90"/>
      <c r="F227" s="73">
        <f t="shared" si="159"/>
        <v>0</v>
      </c>
      <c r="G227" s="73">
        <f t="shared" si="159"/>
        <v>0</v>
      </c>
      <c r="H227" s="73">
        <f t="shared" si="159"/>
        <v>0</v>
      </c>
      <c r="I227" s="194"/>
      <c r="J227" s="194"/>
      <c r="K227" s="194"/>
      <c r="L227" s="73"/>
      <c r="M227" s="73"/>
      <c r="N227" s="73"/>
    </row>
    <row r="228" spans="1:16" hidden="1" x14ac:dyDescent="0.25">
      <c r="A228" s="91"/>
      <c r="B228" s="92"/>
      <c r="C228" s="90"/>
      <c r="D228" s="90"/>
      <c r="E228" s="90"/>
      <c r="F228" s="73">
        <f t="shared" si="159"/>
        <v>0</v>
      </c>
      <c r="G228" s="73">
        <f t="shared" si="159"/>
        <v>0</v>
      </c>
      <c r="H228" s="73">
        <f t="shared" si="159"/>
        <v>0</v>
      </c>
      <c r="I228" s="194"/>
      <c r="J228" s="194"/>
      <c r="K228" s="194"/>
      <c r="L228" s="73"/>
      <c r="M228" s="73"/>
      <c r="N228" s="73"/>
    </row>
    <row r="229" spans="1:16" hidden="1" x14ac:dyDescent="0.25">
      <c r="A229" s="91"/>
      <c r="B229" s="92"/>
      <c r="C229" s="90"/>
      <c r="D229" s="90"/>
      <c r="E229" s="90"/>
      <c r="F229" s="73">
        <f t="shared" si="159"/>
        <v>0</v>
      </c>
      <c r="G229" s="73">
        <f t="shared" si="159"/>
        <v>0</v>
      </c>
      <c r="H229" s="73">
        <f t="shared" si="159"/>
        <v>0</v>
      </c>
      <c r="I229" s="194"/>
      <c r="J229" s="194"/>
      <c r="K229" s="194"/>
      <c r="L229" s="73"/>
      <c r="M229" s="73"/>
      <c r="N229" s="73"/>
    </row>
    <row r="230" spans="1:16" hidden="1" x14ac:dyDescent="0.25">
      <c r="A230" s="91"/>
      <c r="B230" s="92"/>
      <c r="C230" s="90"/>
      <c r="D230" s="90"/>
      <c r="E230" s="90"/>
      <c r="F230" s="73">
        <f t="shared" si="159"/>
        <v>0</v>
      </c>
      <c r="G230" s="73">
        <f t="shared" si="159"/>
        <v>0</v>
      </c>
      <c r="H230" s="73">
        <f t="shared" si="159"/>
        <v>0</v>
      </c>
      <c r="I230" s="194"/>
      <c r="J230" s="194"/>
      <c r="K230" s="194"/>
      <c r="L230" s="73"/>
      <c r="M230" s="73"/>
      <c r="N230" s="73"/>
    </row>
    <row r="231" spans="1:16" hidden="1" x14ac:dyDescent="0.25">
      <c r="A231" s="91"/>
      <c r="B231" s="92"/>
      <c r="C231" s="90"/>
      <c r="D231" s="90"/>
      <c r="E231" s="90"/>
      <c r="F231" s="73">
        <f t="shared" si="159"/>
        <v>0</v>
      </c>
      <c r="G231" s="73">
        <f t="shared" si="159"/>
        <v>0</v>
      </c>
      <c r="H231" s="73">
        <f t="shared" si="159"/>
        <v>0</v>
      </c>
      <c r="I231" s="194"/>
      <c r="J231" s="194"/>
      <c r="K231" s="194"/>
      <c r="L231" s="73"/>
      <c r="M231" s="73"/>
      <c r="N231" s="73"/>
    </row>
    <row r="232" spans="1:16" hidden="1" x14ac:dyDescent="0.25">
      <c r="A232" s="91"/>
      <c r="B232" s="92"/>
      <c r="C232" s="90"/>
      <c r="D232" s="90"/>
      <c r="E232" s="90"/>
      <c r="F232" s="73">
        <f t="shared" si="159"/>
        <v>0</v>
      </c>
      <c r="G232" s="73">
        <f t="shared" si="159"/>
        <v>0</v>
      </c>
      <c r="H232" s="73">
        <f t="shared" si="159"/>
        <v>0</v>
      </c>
      <c r="I232" s="194"/>
      <c r="J232" s="194"/>
      <c r="K232" s="194"/>
      <c r="L232" s="73"/>
      <c r="M232" s="73"/>
      <c r="N232" s="73"/>
    </row>
    <row r="233" spans="1:16" hidden="1" x14ac:dyDescent="0.25">
      <c r="A233" s="91"/>
      <c r="B233" s="92"/>
      <c r="C233" s="90"/>
      <c r="D233" s="90"/>
      <c r="E233" s="90"/>
      <c r="F233" s="73">
        <f t="shared" si="159"/>
        <v>0</v>
      </c>
      <c r="G233" s="73">
        <f t="shared" si="159"/>
        <v>0</v>
      </c>
      <c r="H233" s="73">
        <f t="shared" si="159"/>
        <v>0</v>
      </c>
      <c r="I233" s="194"/>
      <c r="J233" s="194"/>
      <c r="K233" s="194"/>
      <c r="L233" s="73"/>
      <c r="M233" s="73"/>
      <c r="N233" s="73"/>
    </row>
    <row r="234" spans="1:16" hidden="1" x14ac:dyDescent="0.25">
      <c r="A234" s="91"/>
      <c r="B234" s="92"/>
      <c r="C234" s="90"/>
      <c r="D234" s="90"/>
      <c r="E234" s="90"/>
      <c r="F234" s="73">
        <f t="shared" si="159"/>
        <v>0</v>
      </c>
      <c r="G234" s="73">
        <f t="shared" si="159"/>
        <v>0</v>
      </c>
      <c r="H234" s="73">
        <f t="shared" si="159"/>
        <v>0</v>
      </c>
      <c r="I234" s="194"/>
      <c r="J234" s="194"/>
      <c r="K234" s="194"/>
      <c r="L234" s="73"/>
      <c r="M234" s="73"/>
      <c r="N234" s="73"/>
    </row>
    <row r="235" spans="1:16" s="58" customFormat="1" ht="14.25" x14ac:dyDescent="0.2">
      <c r="A235" s="157" t="s">
        <v>710</v>
      </c>
      <c r="B235" s="86"/>
      <c r="C235" s="87"/>
      <c r="D235" s="87"/>
      <c r="E235" s="87"/>
      <c r="F235" s="79">
        <f>SUM(F236:F238)</f>
        <v>142988.38</v>
      </c>
      <c r="G235" s="79">
        <f t="shared" ref="G235:H235" si="160">SUM(G236:G238)</f>
        <v>0</v>
      </c>
      <c r="H235" s="79">
        <f t="shared" si="160"/>
        <v>0</v>
      </c>
      <c r="I235" s="193">
        <f>SUM(I236:I238)</f>
        <v>142988.38</v>
      </c>
      <c r="J235" s="193">
        <f t="shared" ref="J235:K235" si="161">SUM(J236:J238)</f>
        <v>0</v>
      </c>
      <c r="K235" s="193">
        <f t="shared" si="161"/>
        <v>0</v>
      </c>
      <c r="L235" s="79">
        <f>SUM(L236:L238)</f>
        <v>0</v>
      </c>
      <c r="M235" s="79">
        <f t="shared" ref="M235:N235" si="162">SUM(M236:M238)</f>
        <v>0</v>
      </c>
      <c r="N235" s="79">
        <f t="shared" si="162"/>
        <v>0</v>
      </c>
      <c r="O235" s="70" t="s">
        <v>729</v>
      </c>
      <c r="P235" s="70" t="s">
        <v>722</v>
      </c>
    </row>
    <row r="236" spans="1:16" x14ac:dyDescent="0.25">
      <c r="A236" s="91" t="s">
        <v>676</v>
      </c>
      <c r="B236" s="199"/>
      <c r="C236" s="200" t="s">
        <v>314</v>
      </c>
      <c r="D236" s="200" t="s">
        <v>324</v>
      </c>
      <c r="E236" s="200" t="s">
        <v>464</v>
      </c>
      <c r="F236" s="73">
        <f t="shared" ref="F236:H238" si="163">I236+L236</f>
        <v>142988.38</v>
      </c>
      <c r="G236" s="73">
        <f t="shared" si="163"/>
        <v>0</v>
      </c>
      <c r="H236" s="73">
        <f t="shared" si="163"/>
        <v>0</v>
      </c>
      <c r="I236" s="194">
        <f>164500-21511.62</f>
        <v>142988.38</v>
      </c>
      <c r="J236" s="194"/>
      <c r="K236" s="194"/>
      <c r="L236" s="73"/>
      <c r="M236" s="73"/>
      <c r="N236" s="73"/>
    </row>
    <row r="237" spans="1:16" x14ac:dyDescent="0.25">
      <c r="A237" s="91"/>
      <c r="B237" s="92"/>
      <c r="C237" s="90"/>
      <c r="D237" s="90"/>
      <c r="E237" s="90"/>
      <c r="F237" s="73">
        <f t="shared" si="163"/>
        <v>0</v>
      </c>
      <c r="G237" s="73">
        <f t="shared" si="163"/>
        <v>0</v>
      </c>
      <c r="H237" s="73">
        <f t="shared" si="163"/>
        <v>0</v>
      </c>
      <c r="I237" s="194"/>
      <c r="J237" s="194"/>
      <c r="K237" s="194"/>
      <c r="L237" s="73"/>
      <c r="M237" s="73"/>
      <c r="N237" s="73"/>
    </row>
    <row r="238" spans="1:16" x14ac:dyDescent="0.25">
      <c r="A238" s="91"/>
      <c r="B238" s="92"/>
      <c r="C238" s="90"/>
      <c r="D238" s="90"/>
      <c r="E238" s="90"/>
      <c r="F238" s="73">
        <f t="shared" si="163"/>
        <v>0</v>
      </c>
      <c r="G238" s="73">
        <f t="shared" si="163"/>
        <v>0</v>
      </c>
      <c r="H238" s="73">
        <f t="shared" si="163"/>
        <v>0</v>
      </c>
      <c r="I238" s="194"/>
      <c r="J238" s="194"/>
      <c r="K238" s="194"/>
      <c r="L238" s="73"/>
      <c r="M238" s="73"/>
      <c r="N238" s="73"/>
    </row>
    <row r="239" spans="1:16" s="58" customFormat="1" ht="14.25" x14ac:dyDescent="0.2">
      <c r="A239" s="157" t="s">
        <v>733</v>
      </c>
      <c r="B239" s="86"/>
      <c r="C239" s="87"/>
      <c r="D239" s="87"/>
      <c r="E239" s="87"/>
      <c r="F239" s="79">
        <f>SUM(F240:F242)</f>
        <v>1800</v>
      </c>
      <c r="G239" s="79">
        <f t="shared" ref="G239:H239" si="164">SUM(G240:G242)</f>
        <v>0</v>
      </c>
      <c r="H239" s="79">
        <f t="shared" si="164"/>
        <v>0</v>
      </c>
      <c r="I239" s="193">
        <f>SUM(I240:I242)</f>
        <v>1800</v>
      </c>
      <c r="J239" s="193">
        <f t="shared" ref="J239:K239" si="165">SUM(J240:J242)</f>
        <v>0</v>
      </c>
      <c r="K239" s="193">
        <f t="shared" si="165"/>
        <v>0</v>
      </c>
      <c r="L239" s="79">
        <f>SUM(L240:L242)</f>
        <v>0</v>
      </c>
      <c r="M239" s="79">
        <f t="shared" ref="M239:N239" si="166">SUM(M240:M242)</f>
        <v>0</v>
      </c>
      <c r="N239" s="79">
        <f t="shared" si="166"/>
        <v>0</v>
      </c>
      <c r="O239" s="70" t="s">
        <v>405</v>
      </c>
      <c r="P239" s="70"/>
    </row>
    <row r="240" spans="1:16" x14ac:dyDescent="0.25">
      <c r="A240" s="71" t="s">
        <v>686</v>
      </c>
      <c r="B240" s="92"/>
      <c r="C240" s="90"/>
      <c r="D240" s="90" t="s">
        <v>324</v>
      </c>
      <c r="E240" s="90" t="s">
        <v>339</v>
      </c>
      <c r="F240" s="73">
        <f t="shared" ref="F240:H242" si="167">I240+L240</f>
        <v>0</v>
      </c>
      <c r="G240" s="73">
        <f t="shared" si="167"/>
        <v>0</v>
      </c>
      <c r="H240" s="73">
        <f t="shared" si="167"/>
        <v>0</v>
      </c>
      <c r="I240" s="194"/>
      <c r="J240" s="194"/>
      <c r="K240" s="194"/>
      <c r="L240" s="73"/>
      <c r="M240" s="73"/>
      <c r="N240" s="73"/>
    </row>
    <row r="241" spans="1:16" x14ac:dyDescent="0.25">
      <c r="A241" s="71" t="s">
        <v>677</v>
      </c>
      <c r="B241" s="92"/>
      <c r="C241" s="90"/>
      <c r="D241" s="90" t="s">
        <v>324</v>
      </c>
      <c r="E241" s="90" t="s">
        <v>339</v>
      </c>
      <c r="F241" s="73">
        <f t="shared" si="167"/>
        <v>1800</v>
      </c>
      <c r="G241" s="73">
        <f t="shared" si="167"/>
        <v>0</v>
      </c>
      <c r="H241" s="73">
        <f t="shared" si="167"/>
        <v>0</v>
      </c>
      <c r="I241" s="194">
        <v>1800</v>
      </c>
      <c r="J241" s="194"/>
      <c r="K241" s="194"/>
      <c r="L241" s="73"/>
      <c r="M241" s="73"/>
      <c r="N241" s="73"/>
    </row>
    <row r="242" spans="1:16" x14ac:dyDescent="0.25">
      <c r="A242" s="91"/>
      <c r="B242" s="92"/>
      <c r="C242" s="90"/>
      <c r="D242" s="90"/>
      <c r="E242" s="90"/>
      <c r="F242" s="73">
        <f t="shared" si="167"/>
        <v>0</v>
      </c>
      <c r="G242" s="73">
        <f t="shared" si="167"/>
        <v>0</v>
      </c>
      <c r="H242" s="73">
        <f t="shared" si="167"/>
        <v>0</v>
      </c>
      <c r="I242" s="194"/>
      <c r="J242" s="194"/>
      <c r="K242" s="194"/>
      <c r="L242" s="73"/>
      <c r="M242" s="73"/>
      <c r="N242" s="73"/>
    </row>
    <row r="243" spans="1:16" s="58" customFormat="1" ht="14.25" x14ac:dyDescent="0.2">
      <c r="A243" s="157" t="s">
        <v>701</v>
      </c>
      <c r="B243" s="86"/>
      <c r="C243" s="87"/>
      <c r="D243" s="87"/>
      <c r="E243" s="87"/>
      <c r="F243" s="79">
        <f>SUM(F244:F246)</f>
        <v>42083</v>
      </c>
      <c r="G243" s="79">
        <f t="shared" ref="G243:H243" si="168">SUM(G244:G246)</f>
        <v>0</v>
      </c>
      <c r="H243" s="79">
        <f t="shared" si="168"/>
        <v>0</v>
      </c>
      <c r="I243" s="193">
        <f>SUM(I244:I246)</f>
        <v>42083</v>
      </c>
      <c r="J243" s="193">
        <f t="shared" ref="J243:K243" si="169">SUM(J244:J246)</f>
        <v>0</v>
      </c>
      <c r="K243" s="193">
        <f t="shared" si="169"/>
        <v>0</v>
      </c>
      <c r="L243" s="79">
        <f>SUM(L244:L246)</f>
        <v>0</v>
      </c>
      <c r="M243" s="79">
        <f t="shared" ref="M243:N243" si="170">SUM(M244:M246)</f>
        <v>0</v>
      </c>
      <c r="N243" s="79">
        <f t="shared" si="170"/>
        <v>0</v>
      </c>
      <c r="O243" s="70" t="s">
        <v>405</v>
      </c>
      <c r="P243" s="70"/>
    </row>
    <row r="244" spans="1:16" ht="30" x14ac:dyDescent="0.25">
      <c r="A244" s="71" t="s">
        <v>702</v>
      </c>
      <c r="B244" s="92"/>
      <c r="C244" s="90" t="s">
        <v>314</v>
      </c>
      <c r="D244" s="200" t="s">
        <v>324</v>
      </c>
      <c r="E244" s="90" t="s">
        <v>317</v>
      </c>
      <c r="F244" s="73">
        <f t="shared" ref="F244" si="171">I244+L244</f>
        <v>42083</v>
      </c>
      <c r="G244" s="73">
        <f t="shared" ref="G244" si="172">J244+M244</f>
        <v>0</v>
      </c>
      <c r="H244" s="73">
        <f t="shared" ref="H244" si="173">K244+N244</f>
        <v>0</v>
      </c>
      <c r="I244" s="194">
        <v>42083</v>
      </c>
      <c r="J244" s="194"/>
      <c r="K244" s="194"/>
      <c r="L244" s="194"/>
      <c r="M244" s="73"/>
      <c r="N244" s="73"/>
    </row>
    <row r="245" spans="1:16" s="65" customFormat="1" ht="14.25" x14ac:dyDescent="0.2">
      <c r="A245" s="67" t="s">
        <v>406</v>
      </c>
      <c r="B245" s="68"/>
      <c r="C245" s="69" t="s">
        <v>32</v>
      </c>
      <c r="D245" s="69" t="s">
        <v>32</v>
      </c>
      <c r="E245" s="69" t="s">
        <v>32</v>
      </c>
      <c r="F245" s="66">
        <f>SUM(F246,F250,F254,F258)</f>
        <v>0</v>
      </c>
      <c r="G245" s="66">
        <f t="shared" ref="G245:N245" si="174">SUM(G246,G250,G254,G258)</f>
        <v>0</v>
      </c>
      <c r="H245" s="66">
        <f t="shared" si="174"/>
        <v>0</v>
      </c>
      <c r="I245" s="195">
        <f t="shared" si="174"/>
        <v>0</v>
      </c>
      <c r="J245" s="195">
        <f t="shared" si="174"/>
        <v>0</v>
      </c>
      <c r="K245" s="195">
        <f t="shared" si="174"/>
        <v>0</v>
      </c>
      <c r="L245" s="66">
        <f t="shared" si="174"/>
        <v>0</v>
      </c>
      <c r="M245" s="66">
        <f t="shared" si="174"/>
        <v>0</v>
      </c>
      <c r="N245" s="66">
        <f t="shared" si="174"/>
        <v>0</v>
      </c>
    </row>
    <row r="246" spans="1:16" s="58" customFormat="1" ht="14.25" x14ac:dyDescent="0.2">
      <c r="A246" s="94"/>
      <c r="B246" s="86"/>
      <c r="C246" s="87"/>
      <c r="D246" s="87"/>
      <c r="E246" s="87"/>
      <c r="F246" s="79">
        <f>SUM(F247:F249)</f>
        <v>0</v>
      </c>
      <c r="G246" s="79">
        <f t="shared" ref="G246:H246" si="175">SUM(G247:G249)</f>
        <v>0</v>
      </c>
      <c r="H246" s="79">
        <f t="shared" si="175"/>
        <v>0</v>
      </c>
      <c r="I246" s="193">
        <f>SUM(I247:I249)</f>
        <v>0</v>
      </c>
      <c r="J246" s="193">
        <f t="shared" ref="J246:K246" si="176">SUM(J247:J249)</f>
        <v>0</v>
      </c>
      <c r="K246" s="193">
        <f t="shared" si="176"/>
        <v>0</v>
      </c>
      <c r="L246" s="79">
        <f>SUM(L247:L249)</f>
        <v>0</v>
      </c>
      <c r="M246" s="79">
        <f t="shared" ref="M246:N246" si="177">SUM(M247:M249)</f>
        <v>0</v>
      </c>
      <c r="N246" s="79">
        <f t="shared" si="177"/>
        <v>0</v>
      </c>
      <c r="O246" s="70" t="s">
        <v>407</v>
      </c>
      <c r="P246" s="70"/>
    </row>
    <row r="247" spans="1:16" x14ac:dyDescent="0.25">
      <c r="A247" s="91"/>
      <c r="B247" s="92"/>
      <c r="C247" s="90"/>
      <c r="D247" s="90"/>
      <c r="E247" s="90"/>
      <c r="F247" s="73">
        <f t="shared" ref="F247:H249" si="178">I247+L247</f>
        <v>0</v>
      </c>
      <c r="G247" s="73">
        <f t="shared" si="178"/>
        <v>0</v>
      </c>
      <c r="H247" s="73">
        <f t="shared" si="178"/>
        <v>0</v>
      </c>
      <c r="I247" s="194"/>
      <c r="J247" s="194"/>
      <c r="K247" s="194"/>
      <c r="L247" s="73"/>
      <c r="M247" s="73"/>
      <c r="N247" s="73"/>
    </row>
    <row r="248" spans="1:16" x14ac:dyDescent="0.25">
      <c r="A248" s="91"/>
      <c r="B248" s="92"/>
      <c r="C248" s="90"/>
      <c r="D248" s="90"/>
      <c r="E248" s="90"/>
      <c r="F248" s="73">
        <f t="shared" si="178"/>
        <v>0</v>
      </c>
      <c r="G248" s="73">
        <f t="shared" si="178"/>
        <v>0</v>
      </c>
      <c r="H248" s="73">
        <f t="shared" si="178"/>
        <v>0</v>
      </c>
      <c r="I248" s="194"/>
      <c r="J248" s="73"/>
      <c r="K248" s="73"/>
      <c r="L248" s="73"/>
      <c r="M248" s="73"/>
      <c r="N248" s="73"/>
    </row>
    <row r="249" spans="1:16" x14ac:dyDescent="0.25">
      <c r="A249" s="91"/>
      <c r="B249" s="92"/>
      <c r="C249" s="90"/>
      <c r="D249" s="90"/>
      <c r="E249" s="90"/>
      <c r="F249" s="73">
        <f t="shared" si="178"/>
        <v>0</v>
      </c>
      <c r="G249" s="73">
        <f t="shared" si="178"/>
        <v>0</v>
      </c>
      <c r="H249" s="73">
        <f t="shared" si="178"/>
        <v>0</v>
      </c>
      <c r="I249" s="194"/>
      <c r="J249" s="73"/>
      <c r="K249" s="73"/>
      <c r="L249" s="73"/>
      <c r="M249" s="73"/>
      <c r="N249" s="73"/>
    </row>
    <row r="250" spans="1:16" s="58" customFormat="1" ht="14.25" x14ac:dyDescent="0.2">
      <c r="A250" s="94"/>
      <c r="B250" s="86"/>
      <c r="C250" s="87"/>
      <c r="D250" s="87"/>
      <c r="E250" s="87"/>
      <c r="F250" s="79">
        <f>SUM(F251:F253)</f>
        <v>0</v>
      </c>
      <c r="G250" s="79">
        <f t="shared" ref="G250:H250" si="179">SUM(G251:G253)</f>
        <v>0</v>
      </c>
      <c r="H250" s="79">
        <f t="shared" si="179"/>
        <v>0</v>
      </c>
      <c r="I250" s="193">
        <f>SUM(I251:I253)</f>
        <v>0</v>
      </c>
      <c r="J250" s="79">
        <f t="shared" ref="J250:K250" si="180">SUM(J251:J253)</f>
        <v>0</v>
      </c>
      <c r="K250" s="79">
        <f t="shared" si="180"/>
        <v>0</v>
      </c>
      <c r="L250" s="79">
        <f>SUM(L251:L253)</f>
        <v>0</v>
      </c>
      <c r="M250" s="79">
        <f t="shared" ref="M250:N250" si="181">SUM(M251:M253)</f>
        <v>0</v>
      </c>
      <c r="N250" s="79">
        <f t="shared" si="181"/>
        <v>0</v>
      </c>
      <c r="O250" s="70" t="s">
        <v>407</v>
      </c>
      <c r="P250" s="70"/>
    </row>
    <row r="251" spans="1:16" x14ac:dyDescent="0.25">
      <c r="A251" s="91"/>
      <c r="B251" s="92"/>
      <c r="C251" s="90"/>
      <c r="D251" s="90"/>
      <c r="E251" s="90"/>
      <c r="F251" s="73">
        <f t="shared" ref="F251:H253" si="182">I251+L251</f>
        <v>0</v>
      </c>
      <c r="G251" s="73">
        <f t="shared" si="182"/>
        <v>0</v>
      </c>
      <c r="H251" s="73">
        <f t="shared" si="182"/>
        <v>0</v>
      </c>
      <c r="I251" s="194"/>
      <c r="J251" s="73"/>
      <c r="K251" s="73"/>
      <c r="L251" s="73"/>
      <c r="M251" s="73"/>
      <c r="N251" s="73"/>
    </row>
    <row r="252" spans="1:16" x14ac:dyDescent="0.25">
      <c r="A252" s="91"/>
      <c r="B252" s="92"/>
      <c r="C252" s="90"/>
      <c r="D252" s="90"/>
      <c r="E252" s="90"/>
      <c r="F252" s="73">
        <f t="shared" si="182"/>
        <v>0</v>
      </c>
      <c r="G252" s="73">
        <f t="shared" si="182"/>
        <v>0</v>
      </c>
      <c r="H252" s="73">
        <f t="shared" si="182"/>
        <v>0</v>
      </c>
      <c r="I252" s="194"/>
      <c r="J252" s="73"/>
      <c r="K252" s="73"/>
      <c r="L252" s="73"/>
      <c r="M252" s="73"/>
      <c r="N252" s="73"/>
    </row>
    <row r="253" spans="1:16" x14ac:dyDescent="0.25">
      <c r="A253" s="91"/>
      <c r="B253" s="92"/>
      <c r="C253" s="90"/>
      <c r="D253" s="90"/>
      <c r="E253" s="90"/>
      <c r="F253" s="73">
        <f t="shared" si="182"/>
        <v>0</v>
      </c>
      <c r="G253" s="73">
        <f t="shared" si="182"/>
        <v>0</v>
      </c>
      <c r="H253" s="73">
        <f t="shared" si="182"/>
        <v>0</v>
      </c>
      <c r="I253" s="194"/>
      <c r="J253" s="73"/>
      <c r="K253" s="73"/>
      <c r="L253" s="73"/>
      <c r="M253" s="73"/>
      <c r="N253" s="73"/>
    </row>
    <row r="254" spans="1:16" s="58" customFormat="1" ht="14.25" x14ac:dyDescent="0.2">
      <c r="A254" s="94"/>
      <c r="B254" s="86"/>
      <c r="C254" s="87"/>
      <c r="D254" s="87"/>
      <c r="E254" s="87"/>
      <c r="F254" s="79">
        <f>SUM(F255:F257)</f>
        <v>0</v>
      </c>
      <c r="G254" s="79">
        <f t="shared" ref="G254:H254" si="183">SUM(G255:G257)</f>
        <v>0</v>
      </c>
      <c r="H254" s="79">
        <f t="shared" si="183"/>
        <v>0</v>
      </c>
      <c r="I254" s="193">
        <f>SUM(I255:I257)</f>
        <v>0</v>
      </c>
      <c r="J254" s="79">
        <f t="shared" ref="J254:K254" si="184">SUM(J255:J257)</f>
        <v>0</v>
      </c>
      <c r="K254" s="79">
        <f t="shared" si="184"/>
        <v>0</v>
      </c>
      <c r="L254" s="79">
        <f>SUM(L255:L257)</f>
        <v>0</v>
      </c>
      <c r="M254" s="79">
        <f t="shared" ref="M254:N254" si="185">SUM(M255:M257)</f>
        <v>0</v>
      </c>
      <c r="N254" s="79">
        <f t="shared" si="185"/>
        <v>0</v>
      </c>
      <c r="O254" s="70" t="s">
        <v>407</v>
      </c>
      <c r="P254" s="70"/>
    </row>
    <row r="255" spans="1:16" x14ac:dyDescent="0.25">
      <c r="A255" s="91"/>
      <c r="B255" s="92"/>
      <c r="C255" s="90"/>
      <c r="D255" s="90"/>
      <c r="E255" s="90"/>
      <c r="F255" s="73">
        <f t="shared" ref="F255:H257" si="186">I255+L255</f>
        <v>0</v>
      </c>
      <c r="G255" s="73">
        <f t="shared" si="186"/>
        <v>0</v>
      </c>
      <c r="H255" s="73">
        <f t="shared" si="186"/>
        <v>0</v>
      </c>
      <c r="I255" s="194"/>
      <c r="J255" s="73"/>
      <c r="K255" s="73"/>
      <c r="L255" s="73"/>
      <c r="M255" s="73"/>
      <c r="N255" s="73"/>
    </row>
    <row r="256" spans="1:16" x14ac:dyDescent="0.25">
      <c r="A256" s="91"/>
      <c r="B256" s="92"/>
      <c r="C256" s="90"/>
      <c r="D256" s="90"/>
      <c r="E256" s="90"/>
      <c r="F256" s="73">
        <f t="shared" si="186"/>
        <v>0</v>
      </c>
      <c r="G256" s="73">
        <f t="shared" si="186"/>
        <v>0</v>
      </c>
      <c r="H256" s="73">
        <f t="shared" si="186"/>
        <v>0</v>
      </c>
      <c r="I256" s="194"/>
      <c r="J256" s="73"/>
      <c r="K256" s="73"/>
      <c r="L256" s="73"/>
      <c r="M256" s="73"/>
      <c r="N256" s="73"/>
    </row>
    <row r="257" spans="1:16" x14ac:dyDescent="0.25">
      <c r="A257" s="91"/>
      <c r="B257" s="92"/>
      <c r="C257" s="90"/>
      <c r="D257" s="90"/>
      <c r="E257" s="90"/>
      <c r="F257" s="73">
        <f t="shared" si="186"/>
        <v>0</v>
      </c>
      <c r="G257" s="73">
        <f t="shared" si="186"/>
        <v>0</v>
      </c>
      <c r="H257" s="73">
        <f t="shared" si="186"/>
        <v>0</v>
      </c>
      <c r="I257" s="194"/>
      <c r="J257" s="73"/>
      <c r="K257" s="73"/>
      <c r="L257" s="73"/>
      <c r="M257" s="73"/>
      <c r="N257" s="73"/>
    </row>
    <row r="258" spans="1:16" s="58" customFormat="1" ht="14.25" x14ac:dyDescent="0.2">
      <c r="A258" s="94"/>
      <c r="B258" s="86"/>
      <c r="C258" s="87"/>
      <c r="D258" s="87"/>
      <c r="E258" s="87"/>
      <c r="F258" s="79">
        <f>SUM(F259:F261)</f>
        <v>0</v>
      </c>
      <c r="G258" s="79">
        <f t="shared" ref="G258:H258" si="187">SUM(G259:G261)</f>
        <v>0</v>
      </c>
      <c r="H258" s="79">
        <f t="shared" si="187"/>
        <v>0</v>
      </c>
      <c r="I258" s="193">
        <f>SUM(I259:I261)</f>
        <v>0</v>
      </c>
      <c r="J258" s="79">
        <f t="shared" ref="J258:K258" si="188">SUM(J259:J261)</f>
        <v>0</v>
      </c>
      <c r="K258" s="79">
        <f t="shared" si="188"/>
        <v>0</v>
      </c>
      <c r="L258" s="79">
        <f>SUM(L259:L261)</f>
        <v>0</v>
      </c>
      <c r="M258" s="79">
        <f t="shared" ref="M258:N258" si="189">SUM(M259:M261)</f>
        <v>0</v>
      </c>
      <c r="N258" s="79">
        <f t="shared" si="189"/>
        <v>0</v>
      </c>
      <c r="O258" s="70" t="s">
        <v>407</v>
      </c>
      <c r="P258" s="70"/>
    </row>
    <row r="259" spans="1:16" x14ac:dyDescent="0.25">
      <c r="A259" s="91"/>
      <c r="B259" s="92"/>
      <c r="C259" s="90"/>
      <c r="D259" s="90"/>
      <c r="E259" s="90"/>
      <c r="F259" s="73">
        <f t="shared" ref="F259:H261" si="190">I259+L259</f>
        <v>0</v>
      </c>
      <c r="G259" s="73">
        <f t="shared" si="190"/>
        <v>0</v>
      </c>
      <c r="H259" s="73">
        <f t="shared" si="190"/>
        <v>0</v>
      </c>
      <c r="I259" s="194"/>
      <c r="J259" s="73"/>
      <c r="K259" s="73"/>
      <c r="L259" s="73"/>
      <c r="M259" s="73"/>
      <c r="N259" s="73"/>
    </row>
    <row r="260" spans="1:16" x14ac:dyDescent="0.25">
      <c r="A260" s="91"/>
      <c r="B260" s="92"/>
      <c r="C260" s="90"/>
      <c r="D260" s="90"/>
      <c r="E260" s="90"/>
      <c r="F260" s="73">
        <f t="shared" si="190"/>
        <v>0</v>
      </c>
      <c r="G260" s="73">
        <f t="shared" si="190"/>
        <v>0</v>
      </c>
      <c r="H260" s="73">
        <f t="shared" si="190"/>
        <v>0</v>
      </c>
      <c r="I260" s="194"/>
      <c r="J260" s="73"/>
      <c r="K260" s="73"/>
      <c r="L260" s="73"/>
      <c r="M260" s="73"/>
      <c r="N260" s="73"/>
    </row>
    <row r="261" spans="1:16" x14ac:dyDescent="0.25">
      <c r="A261" s="91"/>
      <c r="B261" s="92"/>
      <c r="C261" s="90"/>
      <c r="D261" s="90"/>
      <c r="E261" s="90"/>
      <c r="F261" s="73">
        <f t="shared" si="190"/>
        <v>0</v>
      </c>
      <c r="G261" s="73">
        <f t="shared" si="190"/>
        <v>0</v>
      </c>
      <c r="H261" s="73">
        <f t="shared" si="190"/>
        <v>0</v>
      </c>
      <c r="I261" s="194"/>
      <c r="J261" s="73"/>
      <c r="K261" s="73"/>
      <c r="L261" s="73"/>
      <c r="M261" s="73"/>
      <c r="N261" s="73"/>
    </row>
    <row r="262" spans="1:16" ht="31.5" customHeight="1" x14ac:dyDescent="0.25">
      <c r="A262" s="95"/>
      <c r="B262" s="96"/>
      <c r="C262" s="97"/>
      <c r="D262" s="97"/>
      <c r="E262" s="97"/>
      <c r="F262" s="98"/>
      <c r="G262" s="98"/>
      <c r="H262" s="98"/>
      <c r="I262" s="278"/>
      <c r="J262" s="98"/>
      <c r="K262" s="98"/>
      <c r="L262" s="98"/>
      <c r="M262" s="98"/>
      <c r="N262" s="98"/>
      <c r="P262" s="99"/>
    </row>
    <row r="263" spans="1:16" x14ac:dyDescent="0.25">
      <c r="A263" s="95" t="s">
        <v>304</v>
      </c>
      <c r="B263" s="96"/>
      <c r="C263" s="97"/>
      <c r="D263" s="97">
        <v>244</v>
      </c>
      <c r="E263" s="97"/>
      <c r="F263" s="98">
        <f t="shared" ref="F263:L263" si="191">SUM(F13,F21,F57,F60,F90,F91,F104,F111)</f>
        <v>3074526.2</v>
      </c>
      <c r="G263" s="98">
        <f t="shared" si="191"/>
        <v>1293332.25</v>
      </c>
      <c r="H263" s="98">
        <f t="shared" si="191"/>
        <v>1293332.25</v>
      </c>
      <c r="I263" s="278">
        <f t="shared" si="191"/>
        <v>3074526.2</v>
      </c>
      <c r="J263" s="98">
        <f t="shared" si="191"/>
        <v>1293332.25</v>
      </c>
      <c r="K263" s="98">
        <f t="shared" si="191"/>
        <v>1293332.25</v>
      </c>
      <c r="L263" s="98">
        <f t="shared" si="191"/>
        <v>0</v>
      </c>
      <c r="M263" s="98"/>
      <c r="N263" s="98"/>
    </row>
    <row r="264" spans="1:16" x14ac:dyDescent="0.25">
      <c r="A264" s="100" t="s">
        <v>408</v>
      </c>
      <c r="B264" s="96"/>
      <c r="C264" s="97"/>
      <c r="D264" s="97"/>
      <c r="E264" s="97">
        <v>220</v>
      </c>
      <c r="F264" s="98">
        <f>F263-F265-F266</f>
        <v>1660826.2000000002</v>
      </c>
      <c r="G264" s="98">
        <f t="shared" ref="G264:L264" si="192">G263-G265-G266</f>
        <v>952876.25</v>
      </c>
      <c r="H264" s="98">
        <f t="shared" si="192"/>
        <v>952876.25</v>
      </c>
      <c r="I264" s="278">
        <f t="shared" si="192"/>
        <v>1660826.2000000002</v>
      </c>
      <c r="J264" s="98">
        <f t="shared" si="192"/>
        <v>952876.25</v>
      </c>
      <c r="K264" s="98">
        <f t="shared" si="192"/>
        <v>952876.25</v>
      </c>
      <c r="L264" s="98">
        <f t="shared" si="192"/>
        <v>0</v>
      </c>
      <c r="M264" s="98"/>
      <c r="N264" s="98"/>
    </row>
    <row r="265" spans="1:16" x14ac:dyDescent="0.25">
      <c r="A265" s="100" t="s">
        <v>280</v>
      </c>
      <c r="B265" s="96"/>
      <c r="C265" s="97"/>
      <c r="D265" s="97"/>
      <c r="E265" s="97">
        <v>310</v>
      </c>
      <c r="F265" s="98"/>
      <c r="G265" s="98"/>
      <c r="H265" s="98"/>
      <c r="I265" s="278"/>
      <c r="J265" s="98"/>
      <c r="K265" s="98"/>
      <c r="L265" s="98"/>
      <c r="M265" s="98"/>
      <c r="N265" s="98"/>
    </row>
    <row r="266" spans="1:16" x14ac:dyDescent="0.25">
      <c r="A266" s="100" t="s">
        <v>281</v>
      </c>
      <c r="B266" s="96"/>
      <c r="C266" s="97"/>
      <c r="D266" s="97"/>
      <c r="E266" s="97">
        <v>340</v>
      </c>
      <c r="F266" s="98">
        <f t="shared" ref="F266:L266" si="193">F91</f>
        <v>1413700</v>
      </c>
      <c r="G266" s="98">
        <f t="shared" si="193"/>
        <v>340456</v>
      </c>
      <c r="H266" s="98">
        <f t="shared" si="193"/>
        <v>340456</v>
      </c>
      <c r="I266" s="278">
        <f t="shared" si="193"/>
        <v>1413700</v>
      </c>
      <c r="J266" s="98">
        <f t="shared" si="193"/>
        <v>340456</v>
      </c>
      <c r="K266" s="98">
        <f t="shared" si="193"/>
        <v>340456</v>
      </c>
      <c r="L266" s="98">
        <f t="shared" si="193"/>
        <v>0</v>
      </c>
      <c r="M266" s="98"/>
      <c r="N266" s="98"/>
    </row>
    <row r="267" spans="1:16" x14ac:dyDescent="0.25">
      <c r="A267" s="95" t="s">
        <v>405</v>
      </c>
      <c r="B267" s="96"/>
      <c r="C267" s="97"/>
      <c r="D267" s="97">
        <v>244</v>
      </c>
      <c r="E267" s="97"/>
      <c r="F267" s="98">
        <f>SUBTOTAL(9,F206,F207,F205,F204)</f>
        <v>286890.84999999998</v>
      </c>
      <c r="G267" s="98">
        <f t="shared" ref="G267:L267" si="194">SUBTOTAL(9,G206,G207,G205,G204)</f>
        <v>0</v>
      </c>
      <c r="H267" s="98">
        <f t="shared" si="194"/>
        <v>0</v>
      </c>
      <c r="I267" s="278">
        <f t="shared" si="194"/>
        <v>286890.84999999998</v>
      </c>
      <c r="J267" s="98">
        <f t="shared" si="194"/>
        <v>0</v>
      </c>
      <c r="K267" s="98">
        <f t="shared" si="194"/>
        <v>0</v>
      </c>
      <c r="L267" s="98">
        <f t="shared" si="194"/>
        <v>0</v>
      </c>
      <c r="M267" s="98"/>
      <c r="N267" s="98"/>
    </row>
    <row r="268" spans="1:16" x14ac:dyDescent="0.25">
      <c r="A268" s="100" t="s">
        <v>408</v>
      </c>
      <c r="B268" s="96"/>
      <c r="C268" s="97"/>
      <c r="D268" s="97"/>
      <c r="E268" s="97">
        <v>220</v>
      </c>
      <c r="F268" s="98">
        <f>F267-F269-F270</f>
        <v>286890.84999999998</v>
      </c>
      <c r="G268" s="98">
        <f t="shared" ref="G268:L268" si="195">G267-G269-G270</f>
        <v>0</v>
      </c>
      <c r="H268" s="98">
        <f t="shared" si="195"/>
        <v>0</v>
      </c>
      <c r="I268" s="278">
        <f t="shared" si="195"/>
        <v>286890.84999999998</v>
      </c>
      <c r="J268" s="98">
        <f t="shared" si="195"/>
        <v>0</v>
      </c>
      <c r="K268" s="98">
        <f t="shared" si="195"/>
        <v>0</v>
      </c>
      <c r="L268" s="98">
        <f t="shared" si="195"/>
        <v>0</v>
      </c>
      <c r="M268" s="98"/>
      <c r="N268" s="98"/>
    </row>
    <row r="269" spans="1:16" x14ac:dyDescent="0.25">
      <c r="A269" s="100" t="s">
        <v>280</v>
      </c>
      <c r="B269" s="96"/>
      <c r="C269" s="97"/>
      <c r="D269" s="97"/>
      <c r="E269" s="97">
        <v>310</v>
      </c>
      <c r="F269" s="98">
        <f t="shared" ref="F269:L269" si="196">F207</f>
        <v>0</v>
      </c>
      <c r="G269" s="98">
        <f t="shared" si="196"/>
        <v>0</v>
      </c>
      <c r="H269" s="98">
        <f t="shared" si="196"/>
        <v>0</v>
      </c>
      <c r="I269" s="278">
        <f t="shared" si="196"/>
        <v>0</v>
      </c>
      <c r="J269" s="98">
        <f t="shared" si="196"/>
        <v>0</v>
      </c>
      <c r="K269" s="98">
        <f t="shared" si="196"/>
        <v>0</v>
      </c>
      <c r="L269" s="98">
        <f t="shared" si="196"/>
        <v>0</v>
      </c>
      <c r="M269" s="98"/>
      <c r="N269" s="98"/>
    </row>
    <row r="270" spans="1:16" x14ac:dyDescent="0.25">
      <c r="A270" s="100" t="s">
        <v>281</v>
      </c>
      <c r="B270" s="96"/>
      <c r="C270" s="97"/>
      <c r="D270" s="97"/>
      <c r="E270" s="97">
        <v>340</v>
      </c>
      <c r="F270" s="98"/>
      <c r="G270" s="98"/>
      <c r="H270" s="98"/>
      <c r="I270" s="278"/>
      <c r="J270" s="98"/>
      <c r="K270" s="98"/>
      <c r="L270" s="98"/>
      <c r="M270" s="98"/>
      <c r="N270" s="98"/>
    </row>
    <row r="271" spans="1:16" x14ac:dyDescent="0.25">
      <c r="F271" s="62"/>
      <c r="G271" s="62"/>
      <c r="H271" s="62"/>
      <c r="I271" s="279"/>
      <c r="J271" s="62"/>
      <c r="K271" s="62"/>
      <c r="L271" s="62"/>
      <c r="M271" s="62"/>
      <c r="N271" s="62"/>
    </row>
    <row r="272" spans="1:16" x14ac:dyDescent="0.25">
      <c r="F272" s="62"/>
      <c r="G272" s="62"/>
      <c r="H272" s="62"/>
      <c r="I272" s="279"/>
      <c r="J272" s="62"/>
      <c r="K272" s="62"/>
      <c r="L272" s="62"/>
      <c r="M272" s="62"/>
      <c r="N272" s="62"/>
    </row>
    <row r="273" spans="6:14" x14ac:dyDescent="0.25">
      <c r="F273" s="62"/>
      <c r="G273" s="62"/>
      <c r="H273" s="62"/>
      <c r="I273" s="279"/>
      <c r="J273" s="62"/>
      <c r="K273" s="62"/>
      <c r="L273" s="62"/>
      <c r="M273" s="62"/>
      <c r="N273" s="62"/>
    </row>
    <row r="274" spans="6:14" x14ac:dyDescent="0.25">
      <c r="F274" s="62"/>
      <c r="G274" s="62"/>
      <c r="H274" s="62"/>
      <c r="I274" s="279"/>
      <c r="J274" s="62"/>
      <c r="K274" s="62"/>
      <c r="L274" s="62"/>
      <c r="M274" s="62"/>
      <c r="N274" s="62"/>
    </row>
    <row r="275" spans="6:14" x14ac:dyDescent="0.25">
      <c r="F275" s="62"/>
      <c r="G275" s="62"/>
      <c r="H275" s="62"/>
      <c r="I275" s="279"/>
      <c r="J275" s="62"/>
      <c r="K275" s="62"/>
      <c r="L275" s="62"/>
      <c r="M275" s="62"/>
      <c r="N275" s="62"/>
    </row>
    <row r="276" spans="6:14" x14ac:dyDescent="0.25">
      <c r="F276" s="62"/>
      <c r="G276" s="62"/>
      <c r="H276" s="62"/>
      <c r="I276" s="279"/>
      <c r="J276" s="62"/>
      <c r="K276" s="62"/>
      <c r="L276" s="62"/>
      <c r="M276" s="62"/>
      <c r="N276" s="62"/>
    </row>
    <row r="277" spans="6:14" x14ac:dyDescent="0.25">
      <c r="F277" s="62"/>
      <c r="G277" s="62"/>
      <c r="H277" s="62"/>
      <c r="I277" s="279"/>
      <c r="J277" s="62"/>
      <c r="K277" s="62"/>
      <c r="L277" s="62"/>
      <c r="M277" s="62"/>
      <c r="N277" s="62"/>
    </row>
    <row r="278" spans="6:14" x14ac:dyDescent="0.25">
      <c r="F278" s="62"/>
      <c r="G278" s="62"/>
      <c r="H278" s="62"/>
      <c r="I278" s="279"/>
      <c r="J278" s="62"/>
      <c r="K278" s="62"/>
      <c r="L278" s="62"/>
      <c r="M278" s="62"/>
      <c r="N278" s="62"/>
    </row>
    <row r="279" spans="6:14" x14ac:dyDescent="0.25">
      <c r="F279" s="62"/>
      <c r="G279" s="62"/>
      <c r="H279" s="62"/>
      <c r="I279" s="279"/>
      <c r="J279" s="62"/>
      <c r="K279" s="62"/>
      <c r="L279" s="62"/>
      <c r="M279" s="62"/>
      <c r="N279" s="62"/>
    </row>
    <row r="280" spans="6:14" x14ac:dyDescent="0.25">
      <c r="F280" s="62"/>
      <c r="G280" s="62"/>
      <c r="H280" s="62"/>
      <c r="I280" s="279"/>
      <c r="J280" s="62"/>
      <c r="K280" s="62"/>
      <c r="L280" s="62"/>
      <c r="M280" s="62"/>
      <c r="N280" s="62"/>
    </row>
    <row r="281" spans="6:14" x14ac:dyDescent="0.25">
      <c r="F281" s="62"/>
      <c r="G281" s="62"/>
      <c r="H281" s="62"/>
      <c r="I281" s="279"/>
      <c r="J281" s="62"/>
      <c r="K281" s="62"/>
      <c r="L281" s="62"/>
      <c r="M281" s="62"/>
      <c r="N281" s="62"/>
    </row>
    <row r="282" spans="6:14" x14ac:dyDescent="0.25">
      <c r="F282" s="62"/>
      <c r="G282" s="62"/>
      <c r="H282" s="62"/>
      <c r="I282" s="279"/>
      <c r="J282" s="62"/>
      <c r="K282" s="62"/>
      <c r="L282" s="62"/>
      <c r="M282" s="62"/>
      <c r="N282" s="62"/>
    </row>
    <row r="283" spans="6:14" x14ac:dyDescent="0.25">
      <c r="F283" s="62"/>
      <c r="G283" s="62"/>
      <c r="H283" s="62"/>
      <c r="I283" s="279"/>
      <c r="J283" s="62"/>
      <c r="K283" s="62"/>
      <c r="L283" s="62"/>
      <c r="M283" s="62"/>
      <c r="N283" s="62"/>
    </row>
    <row r="284" spans="6:14" x14ac:dyDescent="0.25">
      <c r="F284" s="62"/>
      <c r="G284" s="62"/>
      <c r="H284" s="62"/>
      <c r="I284" s="279"/>
      <c r="J284" s="62"/>
      <c r="K284" s="62"/>
      <c r="L284" s="62"/>
      <c r="M284" s="62"/>
      <c r="N284" s="62"/>
    </row>
    <row r="285" spans="6:14" x14ac:dyDescent="0.25">
      <c r="F285" s="62"/>
      <c r="G285" s="62"/>
      <c r="H285" s="62"/>
      <c r="I285" s="279"/>
      <c r="J285" s="62"/>
      <c r="K285" s="62"/>
      <c r="L285" s="62"/>
      <c r="M285" s="62"/>
      <c r="N285" s="62"/>
    </row>
    <row r="286" spans="6:14" x14ac:dyDescent="0.25">
      <c r="F286" s="62"/>
      <c r="G286" s="62"/>
      <c r="H286" s="62"/>
      <c r="I286" s="279"/>
      <c r="J286" s="62"/>
      <c r="K286" s="62"/>
      <c r="L286" s="62"/>
      <c r="M286" s="62"/>
      <c r="N286" s="62"/>
    </row>
    <row r="287" spans="6:14" x14ac:dyDescent="0.25">
      <c r="F287" s="62"/>
      <c r="G287" s="62"/>
      <c r="H287" s="62"/>
      <c r="I287" s="279"/>
      <c r="J287" s="62"/>
      <c r="K287" s="62"/>
      <c r="L287" s="62"/>
      <c r="M287" s="62"/>
      <c r="N287" s="62"/>
    </row>
    <row r="288" spans="6:14" x14ac:dyDescent="0.25">
      <c r="F288" s="62"/>
      <c r="G288" s="62"/>
      <c r="H288" s="62"/>
      <c r="I288" s="279"/>
      <c r="J288" s="62"/>
      <c r="K288" s="62"/>
      <c r="L288" s="62"/>
      <c r="M288" s="62"/>
      <c r="N288" s="62"/>
    </row>
    <row r="289" spans="6:14" x14ac:dyDescent="0.25">
      <c r="F289" s="62"/>
      <c r="G289" s="62"/>
      <c r="H289" s="62"/>
      <c r="I289" s="279"/>
      <c r="J289" s="62"/>
      <c r="K289" s="62"/>
      <c r="L289" s="62"/>
      <c r="M289" s="62"/>
      <c r="N289" s="62"/>
    </row>
    <row r="290" spans="6:14" x14ac:dyDescent="0.25">
      <c r="F290" s="62"/>
      <c r="G290" s="62"/>
      <c r="H290" s="62"/>
      <c r="I290" s="279"/>
      <c r="J290" s="62"/>
      <c r="K290" s="62"/>
      <c r="L290" s="62"/>
      <c r="M290" s="62"/>
      <c r="N290" s="62"/>
    </row>
    <row r="291" spans="6:14" x14ac:dyDescent="0.25">
      <c r="F291" s="62"/>
      <c r="G291" s="62"/>
      <c r="H291" s="62"/>
      <c r="I291" s="279"/>
      <c r="J291" s="62"/>
      <c r="K291" s="62"/>
      <c r="L291" s="62"/>
      <c r="M291" s="62"/>
      <c r="N291" s="62"/>
    </row>
    <row r="292" spans="6:14" x14ac:dyDescent="0.25">
      <c r="F292" s="62"/>
      <c r="G292" s="62"/>
      <c r="H292" s="62"/>
      <c r="I292" s="279"/>
      <c r="J292" s="62"/>
      <c r="K292" s="62"/>
      <c r="L292" s="62"/>
      <c r="M292" s="62"/>
      <c r="N292" s="62"/>
    </row>
    <row r="293" spans="6:14" x14ac:dyDescent="0.25">
      <c r="F293" s="62"/>
      <c r="G293" s="62"/>
      <c r="H293" s="62"/>
      <c r="I293" s="279"/>
      <c r="J293" s="62"/>
      <c r="K293" s="62"/>
      <c r="L293" s="62"/>
      <c r="M293" s="62"/>
      <c r="N293" s="62"/>
    </row>
    <row r="294" spans="6:14" x14ac:dyDescent="0.25">
      <c r="F294" s="62"/>
      <c r="G294" s="62"/>
      <c r="H294" s="62"/>
      <c r="I294" s="279"/>
      <c r="J294" s="62"/>
      <c r="K294" s="62"/>
      <c r="L294" s="62"/>
      <c r="M294" s="62"/>
      <c r="N294" s="62"/>
    </row>
    <row r="295" spans="6:14" x14ac:dyDescent="0.25">
      <c r="F295" s="62"/>
      <c r="G295" s="62"/>
      <c r="H295" s="62"/>
      <c r="I295" s="279"/>
      <c r="J295" s="62"/>
      <c r="K295" s="62"/>
      <c r="L295" s="62"/>
      <c r="M295" s="62"/>
      <c r="N295" s="62"/>
    </row>
    <row r="296" spans="6:14" x14ac:dyDescent="0.25">
      <c r="F296" s="62"/>
      <c r="G296" s="62"/>
      <c r="H296" s="62"/>
      <c r="I296" s="279"/>
      <c r="J296" s="62"/>
      <c r="K296" s="62"/>
      <c r="L296" s="62"/>
      <c r="M296" s="62"/>
      <c r="N296" s="62"/>
    </row>
    <row r="297" spans="6:14" x14ac:dyDescent="0.25">
      <c r="F297" s="62"/>
      <c r="G297" s="62"/>
      <c r="H297" s="62"/>
      <c r="I297" s="279"/>
      <c r="J297" s="62"/>
      <c r="K297" s="62"/>
      <c r="L297" s="62"/>
      <c r="M297" s="62"/>
      <c r="N297" s="62"/>
    </row>
    <row r="298" spans="6:14" x14ac:dyDescent="0.25">
      <c r="F298" s="62"/>
      <c r="G298" s="62"/>
      <c r="H298" s="62"/>
      <c r="I298" s="279"/>
      <c r="J298" s="62"/>
      <c r="K298" s="62"/>
      <c r="L298" s="62"/>
      <c r="M298" s="62"/>
      <c r="N298" s="62"/>
    </row>
    <row r="299" spans="6:14" x14ac:dyDescent="0.25">
      <c r="F299" s="62"/>
      <c r="G299" s="62"/>
      <c r="H299" s="62"/>
      <c r="I299" s="279"/>
      <c r="J299" s="62"/>
      <c r="K299" s="62"/>
      <c r="L299" s="62"/>
      <c r="M299" s="62"/>
      <c r="N299" s="62"/>
    </row>
    <row r="300" spans="6:14" x14ac:dyDescent="0.25">
      <c r="F300" s="62"/>
      <c r="G300" s="62"/>
      <c r="H300" s="62"/>
      <c r="I300" s="279"/>
      <c r="J300" s="62"/>
      <c r="K300" s="62"/>
      <c r="L300" s="62"/>
      <c r="M300" s="62"/>
      <c r="N300" s="62"/>
    </row>
    <row r="301" spans="6:14" x14ac:dyDescent="0.25">
      <c r="F301" s="62"/>
      <c r="G301" s="62"/>
      <c r="H301" s="62"/>
      <c r="I301" s="279"/>
      <c r="J301" s="62"/>
      <c r="K301" s="62"/>
      <c r="L301" s="62"/>
      <c r="M301" s="62"/>
      <c r="N301" s="62"/>
    </row>
    <row r="302" spans="6:14" x14ac:dyDescent="0.25">
      <c r="F302" s="62"/>
      <c r="G302" s="62"/>
      <c r="H302" s="62"/>
      <c r="I302" s="279"/>
      <c r="J302" s="62"/>
      <c r="K302" s="62"/>
      <c r="L302" s="62"/>
      <c r="M302" s="62"/>
      <c r="N302" s="62"/>
    </row>
    <row r="303" spans="6:14" x14ac:dyDescent="0.25">
      <c r="F303" s="62"/>
      <c r="G303" s="62"/>
      <c r="H303" s="62"/>
      <c r="I303" s="279"/>
      <c r="J303" s="62"/>
      <c r="K303" s="62"/>
      <c r="L303" s="62"/>
      <c r="M303" s="62"/>
      <c r="N303" s="62"/>
    </row>
    <row r="304" spans="6:14" x14ac:dyDescent="0.25">
      <c r="F304" s="62"/>
      <c r="G304" s="62"/>
      <c r="H304" s="62"/>
      <c r="I304" s="279"/>
      <c r="J304" s="62"/>
      <c r="K304" s="62"/>
      <c r="L304" s="62"/>
      <c r="M304" s="62"/>
      <c r="N304" s="62"/>
    </row>
    <row r="305" spans="6:14" x14ac:dyDescent="0.25">
      <c r="F305" s="62"/>
      <c r="G305" s="62"/>
      <c r="H305" s="62"/>
      <c r="I305" s="279"/>
      <c r="J305" s="62"/>
      <c r="K305" s="62"/>
      <c r="L305" s="62"/>
      <c r="M305" s="62"/>
      <c r="N305" s="62"/>
    </row>
    <row r="306" spans="6:14" x14ac:dyDescent="0.25">
      <c r="F306" s="62"/>
      <c r="G306" s="62"/>
      <c r="H306" s="62"/>
      <c r="I306" s="279"/>
      <c r="J306" s="62"/>
      <c r="K306" s="62"/>
      <c r="L306" s="62"/>
      <c r="M306" s="62"/>
      <c r="N306" s="62"/>
    </row>
    <row r="307" spans="6:14" x14ac:dyDescent="0.25">
      <c r="F307" s="62"/>
      <c r="G307" s="62"/>
      <c r="H307" s="62"/>
      <c r="I307" s="279"/>
      <c r="J307" s="62"/>
      <c r="K307" s="62"/>
      <c r="L307" s="62"/>
      <c r="M307" s="62"/>
      <c r="N307" s="62"/>
    </row>
  </sheetData>
  <mergeCells count="8">
    <mergeCell ref="I2:K2"/>
    <mergeCell ref="L2:N2"/>
    <mergeCell ref="A2:A4"/>
    <mergeCell ref="B2:B4"/>
    <mergeCell ref="C2:C4"/>
    <mergeCell ref="D2:D4"/>
    <mergeCell ref="E2:E4"/>
    <mergeCell ref="F2:H2"/>
  </mergeCells>
  <pageMargins left="0" right="0" top="0" bottom="0" header="0" footer="0"/>
  <pageSetup paperSize="9" scale="52" fitToHeight="0" orientation="landscape" r:id="rId1"/>
  <rowBreaks count="1" manualBreakCount="1">
    <brk id="108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676"/>
  <sheetViews>
    <sheetView view="pageBreakPreview" zoomScaleNormal="80" zoomScaleSheetLayoutView="100" workbookViewId="0">
      <pane xSplit="6" ySplit="5" topLeftCell="G16" activePane="bottomRight" state="frozen"/>
      <selection activeCell="B169" sqref="B169:I169"/>
      <selection pane="topRight" activeCell="B169" sqref="B169:I169"/>
      <selection pane="bottomLeft" activeCell="B169" sqref="B169:I169"/>
      <selection pane="bottomRight" activeCell="D367" sqref="D367"/>
    </sheetView>
  </sheetViews>
  <sheetFormatPr defaultColWidth="9.140625" defaultRowHeight="15" x14ac:dyDescent="0.25"/>
  <cols>
    <col min="1" max="1" width="46.7109375" style="63" customWidth="1"/>
    <col min="2" max="2" width="5.28515625" style="101" bestFit="1" customWidth="1"/>
    <col min="3" max="3" width="9.140625" style="101" customWidth="1"/>
    <col min="4" max="4" width="15.42578125" style="61" customWidth="1"/>
    <col min="5" max="6" width="15.42578125" style="61" bestFit="1" customWidth="1"/>
    <col min="7" max="7" width="12" style="63" customWidth="1"/>
    <col min="8" max="16384" width="9.140625" style="63"/>
  </cols>
  <sheetData>
    <row r="1" spans="1:8" s="102" customFormat="1" thickBot="1" x14ac:dyDescent="0.25">
      <c r="A1" s="102" t="s">
        <v>409</v>
      </c>
      <c r="B1" s="103"/>
      <c r="C1" s="103"/>
      <c r="D1" s="104">
        <f>D7+D18+D29+D40-D51</f>
        <v>0</v>
      </c>
      <c r="E1" s="104">
        <f t="shared" ref="E1:F1" si="0">E7+E18+E29+E40-E51</f>
        <v>0</v>
      </c>
      <c r="F1" s="104">
        <f t="shared" si="0"/>
        <v>0</v>
      </c>
      <c r="G1" s="105" t="s">
        <v>410</v>
      </c>
      <c r="H1" s="106"/>
    </row>
    <row r="3" spans="1:8" x14ac:dyDescent="0.25">
      <c r="A3" s="58" t="s">
        <v>296</v>
      </c>
      <c r="B3" s="60"/>
      <c r="C3" s="60"/>
    </row>
    <row r="4" spans="1:8" x14ac:dyDescent="0.25">
      <c r="A4" s="521" t="s">
        <v>745</v>
      </c>
      <c r="B4" s="518" t="s">
        <v>299</v>
      </c>
      <c r="C4" s="518" t="s">
        <v>187</v>
      </c>
      <c r="D4" s="523" t="s">
        <v>411</v>
      </c>
      <c r="E4" s="524"/>
      <c r="F4" s="525"/>
    </row>
    <row r="5" spans="1:8" s="65" customFormat="1" ht="27" customHeight="1" x14ac:dyDescent="0.2">
      <c r="A5" s="522"/>
      <c r="B5" s="519"/>
      <c r="C5" s="519"/>
      <c r="D5" s="298">
        <v>2023</v>
      </c>
      <c r="E5" s="298">
        <f>D5+1</f>
        <v>2024</v>
      </c>
      <c r="F5" s="298">
        <f>E5+1</f>
        <v>2025</v>
      </c>
    </row>
    <row r="6" spans="1:8" s="65" customFormat="1" x14ac:dyDescent="0.25">
      <c r="A6" s="107">
        <v>1</v>
      </c>
      <c r="B6" s="108">
        <f>A6+1</f>
        <v>2</v>
      </c>
      <c r="C6" s="108">
        <f t="shared" ref="C6:F6" si="1">B6+1</f>
        <v>3</v>
      </c>
      <c r="D6" s="109">
        <f t="shared" si="1"/>
        <v>4</v>
      </c>
      <c r="E6" s="109">
        <f t="shared" si="1"/>
        <v>5</v>
      </c>
      <c r="F6" s="109">
        <f t="shared" si="1"/>
        <v>6</v>
      </c>
    </row>
    <row r="7" spans="1:8" s="65" customFormat="1" ht="28.5" x14ac:dyDescent="0.2">
      <c r="A7" s="110" t="s">
        <v>412</v>
      </c>
      <c r="B7" s="296" t="s">
        <v>32</v>
      </c>
      <c r="C7" s="296" t="s">
        <v>32</v>
      </c>
      <c r="D7" s="111">
        <f>SUM(D8:D17)</f>
        <v>670719.95000000007</v>
      </c>
      <c r="E7" s="111">
        <f t="shared" ref="E7:F7" si="2">SUM(E8:E17)</f>
        <v>0</v>
      </c>
      <c r="F7" s="111">
        <f t="shared" si="2"/>
        <v>0</v>
      </c>
    </row>
    <row r="8" spans="1:8" s="95" customFormat="1" ht="30" x14ac:dyDescent="0.25">
      <c r="A8" s="112" t="s">
        <v>413</v>
      </c>
      <c r="B8" s="113" t="s">
        <v>32</v>
      </c>
      <c r="C8" s="113" t="s">
        <v>32</v>
      </c>
      <c r="D8" s="73"/>
      <c r="E8" s="73"/>
      <c r="F8" s="73"/>
    </row>
    <row r="9" spans="1:8" s="95" customFormat="1" x14ac:dyDescent="0.25">
      <c r="A9" s="112" t="s">
        <v>414</v>
      </c>
      <c r="B9" s="113" t="s">
        <v>32</v>
      </c>
      <c r="C9" s="113" t="s">
        <v>32</v>
      </c>
      <c r="D9" s="73">
        <f>28389.11+3214.68</f>
        <v>31603.79</v>
      </c>
      <c r="E9" s="73"/>
      <c r="F9" s="73"/>
    </row>
    <row r="10" spans="1:8" s="95" customFormat="1" x14ac:dyDescent="0.25">
      <c r="A10" s="112" t="s">
        <v>415</v>
      </c>
      <c r="B10" s="113" t="s">
        <v>32</v>
      </c>
      <c r="C10" s="113" t="s">
        <v>32</v>
      </c>
      <c r="D10" s="73"/>
      <c r="E10" s="73"/>
      <c r="F10" s="73"/>
    </row>
    <row r="11" spans="1:8" s="95" customFormat="1" x14ac:dyDescent="0.25">
      <c r="A11" s="112" t="s">
        <v>416</v>
      </c>
      <c r="B11" s="113" t="s">
        <v>32</v>
      </c>
      <c r="C11" s="113" t="s">
        <v>32</v>
      </c>
      <c r="D11" s="73">
        <v>190.1</v>
      </c>
      <c r="E11" s="73"/>
      <c r="F11" s="73"/>
    </row>
    <row r="12" spans="1:8" s="95" customFormat="1" x14ac:dyDescent="0.25">
      <c r="A12" s="112" t="s">
        <v>417</v>
      </c>
      <c r="B12" s="113" t="s">
        <v>32</v>
      </c>
      <c r="C12" s="113" t="s">
        <v>32</v>
      </c>
      <c r="D12" s="73">
        <f>30750.05+602430.6</f>
        <v>633180.65</v>
      </c>
      <c r="E12" s="73"/>
      <c r="F12" s="73"/>
    </row>
    <row r="13" spans="1:8" s="95" customFormat="1" x14ac:dyDescent="0.25">
      <c r="A13" s="112" t="s">
        <v>418</v>
      </c>
      <c r="B13" s="113" t="s">
        <v>32</v>
      </c>
      <c r="C13" s="113" t="s">
        <v>32</v>
      </c>
      <c r="D13" s="73"/>
      <c r="E13" s="73"/>
      <c r="F13" s="73"/>
    </row>
    <row r="14" spans="1:8" s="95" customFormat="1" x14ac:dyDescent="0.25">
      <c r="A14" s="112" t="s">
        <v>429</v>
      </c>
      <c r="B14" s="113" t="s">
        <v>32</v>
      </c>
      <c r="C14" s="113" t="s">
        <v>32</v>
      </c>
      <c r="D14" s="73"/>
      <c r="E14" s="73"/>
      <c r="F14" s="73"/>
    </row>
    <row r="15" spans="1:8" s="95" customFormat="1" ht="14.25" customHeight="1" x14ac:dyDescent="0.25">
      <c r="A15" s="112" t="s">
        <v>419</v>
      </c>
      <c r="B15" s="113" t="s">
        <v>32</v>
      </c>
      <c r="C15" s="113" t="s">
        <v>32</v>
      </c>
      <c r="D15" s="73">
        <f>4597.22+1148.19</f>
        <v>5745.41</v>
      </c>
      <c r="E15" s="73"/>
      <c r="F15" s="73"/>
    </row>
    <row r="16" spans="1:8" s="95" customFormat="1" x14ac:dyDescent="0.25">
      <c r="A16" s="112" t="s">
        <v>420</v>
      </c>
      <c r="B16" s="113" t="s">
        <v>32</v>
      </c>
      <c r="C16" s="113" t="s">
        <v>32</v>
      </c>
      <c r="D16" s="73"/>
      <c r="E16" s="73"/>
      <c r="F16" s="73"/>
    </row>
    <row r="17" spans="1:8" s="95" customFormat="1" ht="30" hidden="1" x14ac:dyDescent="0.25">
      <c r="A17" s="112" t="s">
        <v>421</v>
      </c>
      <c r="B17" s="113" t="s">
        <v>32</v>
      </c>
      <c r="C17" s="113" t="s">
        <v>32</v>
      </c>
      <c r="D17" s="73"/>
      <c r="E17" s="73"/>
      <c r="F17" s="73"/>
    </row>
    <row r="18" spans="1:8" s="65" customFormat="1" ht="14.25" x14ac:dyDescent="0.2">
      <c r="A18" s="110" t="s">
        <v>422</v>
      </c>
      <c r="B18" s="296" t="s">
        <v>32</v>
      </c>
      <c r="C18" s="296" t="s">
        <v>32</v>
      </c>
      <c r="D18" s="111">
        <f>SUM(D19:D28)</f>
        <v>6704749</v>
      </c>
      <c r="E18" s="111">
        <f t="shared" ref="E18:F18" si="3">SUM(E19:E28)</f>
        <v>0</v>
      </c>
      <c r="F18" s="111">
        <f t="shared" si="3"/>
        <v>0</v>
      </c>
    </row>
    <row r="19" spans="1:8" s="95" customFormat="1" ht="30" x14ac:dyDescent="0.25">
      <c r="A19" s="112" t="s">
        <v>413</v>
      </c>
      <c r="B19" s="113" t="s">
        <v>32</v>
      </c>
      <c r="C19" s="113">
        <v>131</v>
      </c>
      <c r="D19" s="73"/>
      <c r="E19" s="73"/>
      <c r="F19" s="73"/>
    </row>
    <row r="20" spans="1:8" s="95" customFormat="1" x14ac:dyDescent="0.25">
      <c r="A20" s="112" t="s">
        <v>414</v>
      </c>
      <c r="B20" s="113" t="s">
        <v>32</v>
      </c>
      <c r="C20" s="113">
        <v>131</v>
      </c>
      <c r="D20" s="73">
        <v>148500</v>
      </c>
      <c r="E20" s="73"/>
      <c r="F20" s="73"/>
      <c r="G20" s="148">
        <f>D9+D20+D40-D155</f>
        <v>0</v>
      </c>
      <c r="H20" s="149" t="s">
        <v>410</v>
      </c>
    </row>
    <row r="21" spans="1:8" s="95" customFormat="1" x14ac:dyDescent="0.25">
      <c r="A21" s="112" t="s">
        <v>415</v>
      </c>
      <c r="B21" s="113" t="s">
        <v>32</v>
      </c>
      <c r="C21" s="113">
        <v>121</v>
      </c>
      <c r="D21" s="73"/>
      <c r="E21" s="73"/>
      <c r="F21" s="73"/>
      <c r="G21" s="148">
        <f>D21+D32-D207</f>
        <v>0</v>
      </c>
      <c r="H21" s="149" t="s">
        <v>410</v>
      </c>
    </row>
    <row r="22" spans="1:8" s="95" customFormat="1" x14ac:dyDescent="0.25">
      <c r="A22" s="112" t="s">
        <v>416</v>
      </c>
      <c r="B22" s="113" t="s">
        <v>32</v>
      </c>
      <c r="C22" s="113">
        <v>134</v>
      </c>
      <c r="D22" s="73">
        <v>120000</v>
      </c>
      <c r="E22" s="73"/>
      <c r="F22" s="73"/>
    </row>
    <row r="23" spans="1:8" s="95" customFormat="1" x14ac:dyDescent="0.25">
      <c r="A23" s="112" t="s">
        <v>417</v>
      </c>
      <c r="B23" s="113" t="s">
        <v>32</v>
      </c>
      <c r="C23" s="113">
        <v>131</v>
      </c>
      <c r="D23" s="73">
        <v>6136249</v>
      </c>
      <c r="E23" s="73"/>
      <c r="F23" s="73"/>
    </row>
    <row r="24" spans="1:8" s="95" customFormat="1" x14ac:dyDescent="0.25">
      <c r="A24" s="112" t="s">
        <v>418</v>
      </c>
      <c r="B24" s="113" t="s">
        <v>32</v>
      </c>
      <c r="C24" s="113">
        <v>135</v>
      </c>
      <c r="D24" s="73"/>
      <c r="E24" s="73"/>
      <c r="F24" s="73"/>
    </row>
    <row r="25" spans="1:8" s="95" customFormat="1" x14ac:dyDescent="0.25">
      <c r="A25" s="112" t="s">
        <v>429</v>
      </c>
      <c r="B25" s="113" t="s">
        <v>32</v>
      </c>
      <c r="C25" s="113">
        <v>155</v>
      </c>
      <c r="D25" s="73"/>
      <c r="E25" s="73"/>
      <c r="F25" s="73"/>
    </row>
    <row r="26" spans="1:8" s="95" customFormat="1" ht="13.5" customHeight="1" x14ac:dyDescent="0.25">
      <c r="A26" s="112" t="s">
        <v>419</v>
      </c>
      <c r="B26" s="113" t="s">
        <v>32</v>
      </c>
      <c r="C26" s="113">
        <v>155</v>
      </c>
      <c r="D26" s="73">
        <v>300000</v>
      </c>
      <c r="E26" s="73"/>
      <c r="F26" s="73"/>
    </row>
    <row r="27" spans="1:8" s="95" customFormat="1" ht="30" hidden="1" x14ac:dyDescent="0.25">
      <c r="A27" s="112" t="s">
        <v>420</v>
      </c>
      <c r="B27" s="113" t="s">
        <v>32</v>
      </c>
      <c r="C27" s="114" t="s">
        <v>423</v>
      </c>
      <c r="D27" s="73"/>
      <c r="E27" s="73"/>
      <c r="F27" s="73"/>
    </row>
    <row r="28" spans="1:8" s="95" customFormat="1" ht="30" hidden="1" x14ac:dyDescent="0.25">
      <c r="A28" s="112" t="s">
        <v>421</v>
      </c>
      <c r="B28" s="113" t="s">
        <v>32</v>
      </c>
      <c r="C28" s="114" t="s">
        <v>424</v>
      </c>
      <c r="D28" s="73"/>
      <c r="E28" s="73"/>
      <c r="F28" s="73"/>
    </row>
    <row r="29" spans="1:8" s="65" customFormat="1" ht="14.25" x14ac:dyDescent="0.2">
      <c r="A29" s="110" t="s">
        <v>425</v>
      </c>
      <c r="B29" s="296" t="s">
        <v>32</v>
      </c>
      <c r="C29" s="296" t="s">
        <v>32</v>
      </c>
      <c r="D29" s="111">
        <f>SUM(D30:D39)</f>
        <v>0</v>
      </c>
      <c r="E29" s="111">
        <f t="shared" ref="E29:F29" si="4">SUM(E30:E39)</f>
        <v>0</v>
      </c>
      <c r="F29" s="111">
        <f t="shared" si="4"/>
        <v>0</v>
      </c>
      <c r="G29" s="65" t="s">
        <v>285</v>
      </c>
    </row>
    <row r="30" spans="1:8" s="95" customFormat="1" ht="30" hidden="1" x14ac:dyDescent="0.25">
      <c r="A30" s="112" t="s">
        <v>413</v>
      </c>
      <c r="B30" s="113" t="s">
        <v>32</v>
      </c>
      <c r="C30" s="113"/>
      <c r="D30" s="73"/>
      <c r="E30" s="73"/>
      <c r="F30" s="73"/>
    </row>
    <row r="31" spans="1:8" s="95" customFormat="1" hidden="1" x14ac:dyDescent="0.25">
      <c r="A31" s="112" t="s">
        <v>414</v>
      </c>
      <c r="B31" s="113" t="s">
        <v>32</v>
      </c>
      <c r="C31" s="113"/>
      <c r="D31" s="73"/>
      <c r="E31" s="73"/>
      <c r="F31" s="73"/>
    </row>
    <row r="32" spans="1:8" s="95" customFormat="1" hidden="1" x14ac:dyDescent="0.25">
      <c r="A32" s="112" t="s">
        <v>415</v>
      </c>
      <c r="B32" s="113" t="s">
        <v>32</v>
      </c>
      <c r="C32" s="113"/>
      <c r="D32" s="73"/>
      <c r="E32" s="73"/>
      <c r="F32" s="73"/>
    </row>
    <row r="33" spans="1:7" s="95" customFormat="1" hidden="1" x14ac:dyDescent="0.25">
      <c r="A33" s="112" t="s">
        <v>416</v>
      </c>
      <c r="B33" s="113" t="s">
        <v>32</v>
      </c>
      <c r="C33" s="113"/>
      <c r="D33" s="73"/>
      <c r="E33" s="73"/>
      <c r="F33" s="73"/>
    </row>
    <row r="34" spans="1:7" s="95" customFormat="1" hidden="1" x14ac:dyDescent="0.25">
      <c r="A34" s="112" t="s">
        <v>417</v>
      </c>
      <c r="B34" s="113" t="s">
        <v>32</v>
      </c>
      <c r="C34" s="113"/>
      <c r="D34" s="73"/>
      <c r="E34" s="73"/>
      <c r="F34" s="73"/>
    </row>
    <row r="35" spans="1:7" s="95" customFormat="1" hidden="1" x14ac:dyDescent="0.25">
      <c r="A35" s="112" t="s">
        <v>418</v>
      </c>
      <c r="B35" s="113" t="s">
        <v>32</v>
      </c>
      <c r="C35" s="113"/>
      <c r="D35" s="73"/>
      <c r="E35" s="73"/>
      <c r="F35" s="73"/>
    </row>
    <row r="36" spans="1:7" s="95" customFormat="1" hidden="1" x14ac:dyDescent="0.25">
      <c r="A36" s="112"/>
      <c r="B36" s="113"/>
      <c r="C36" s="113"/>
      <c r="D36" s="73"/>
      <c r="E36" s="73"/>
      <c r="F36" s="73"/>
    </row>
    <row r="37" spans="1:7" s="95" customFormat="1" ht="13.5" hidden="1" customHeight="1" x14ac:dyDescent="0.25">
      <c r="A37" s="112" t="s">
        <v>419</v>
      </c>
      <c r="B37" s="113" t="s">
        <v>32</v>
      </c>
      <c r="C37" s="113"/>
      <c r="D37" s="73"/>
      <c r="E37" s="73"/>
      <c r="F37" s="73"/>
    </row>
    <row r="38" spans="1:7" s="95" customFormat="1" hidden="1" x14ac:dyDescent="0.25">
      <c r="A38" s="112" t="s">
        <v>420</v>
      </c>
      <c r="B38" s="113" t="s">
        <v>32</v>
      </c>
      <c r="C38" s="113"/>
      <c r="D38" s="73"/>
      <c r="E38" s="73"/>
      <c r="F38" s="73"/>
    </row>
    <row r="39" spans="1:7" s="95" customFormat="1" ht="30" hidden="1" x14ac:dyDescent="0.25">
      <c r="A39" s="112" t="s">
        <v>421</v>
      </c>
      <c r="B39" s="113" t="s">
        <v>32</v>
      </c>
      <c r="C39" s="113"/>
      <c r="D39" s="73"/>
      <c r="E39" s="73"/>
      <c r="F39" s="73"/>
    </row>
    <row r="40" spans="1:7" s="65" customFormat="1" ht="14.25" x14ac:dyDescent="0.2">
      <c r="A40" s="110" t="s">
        <v>426</v>
      </c>
      <c r="B40" s="296" t="s">
        <v>32</v>
      </c>
      <c r="C40" s="296" t="s">
        <v>32</v>
      </c>
      <c r="D40" s="111">
        <f>SUM(D41:D50)</f>
        <v>-33</v>
      </c>
      <c r="E40" s="111">
        <f t="shared" ref="E40:F40" si="5">SUM(E41:E50)</f>
        <v>0</v>
      </c>
      <c r="F40" s="111">
        <f t="shared" si="5"/>
        <v>0</v>
      </c>
      <c r="G40" s="65" t="s">
        <v>285</v>
      </c>
    </row>
    <row r="41" spans="1:7" s="95" customFormat="1" ht="30" x14ac:dyDescent="0.25">
      <c r="A41" s="112" t="s">
        <v>413</v>
      </c>
      <c r="B41" s="113" t="s">
        <v>32</v>
      </c>
      <c r="C41" s="113"/>
      <c r="D41" s="73"/>
      <c r="E41" s="73"/>
      <c r="F41" s="73"/>
    </row>
    <row r="42" spans="1:7" s="95" customFormat="1" x14ac:dyDescent="0.25">
      <c r="A42" s="112" t="s">
        <v>414</v>
      </c>
      <c r="B42" s="113" t="s">
        <v>32</v>
      </c>
      <c r="C42" s="113"/>
      <c r="D42" s="73">
        <v>-33</v>
      </c>
      <c r="E42" s="73"/>
      <c r="F42" s="73"/>
    </row>
    <row r="43" spans="1:7" s="95" customFormat="1" hidden="1" x14ac:dyDescent="0.25">
      <c r="A43" s="112" t="s">
        <v>415</v>
      </c>
      <c r="B43" s="113" t="s">
        <v>32</v>
      </c>
      <c r="C43" s="113"/>
      <c r="D43" s="73"/>
      <c r="E43" s="73"/>
      <c r="F43" s="73"/>
    </row>
    <row r="44" spans="1:7" s="95" customFormat="1" hidden="1" x14ac:dyDescent="0.25">
      <c r="A44" s="112" t="s">
        <v>416</v>
      </c>
      <c r="B44" s="113" t="s">
        <v>32</v>
      </c>
      <c r="C44" s="113"/>
      <c r="D44" s="73"/>
      <c r="E44" s="73"/>
      <c r="F44" s="73"/>
    </row>
    <row r="45" spans="1:7" s="95" customFormat="1" hidden="1" x14ac:dyDescent="0.25">
      <c r="A45" s="112" t="s">
        <v>417</v>
      </c>
      <c r="B45" s="113" t="s">
        <v>32</v>
      </c>
      <c r="C45" s="113"/>
      <c r="D45" s="73"/>
      <c r="E45" s="73"/>
      <c r="F45" s="73"/>
    </row>
    <row r="46" spans="1:7" s="95" customFormat="1" hidden="1" x14ac:dyDescent="0.25">
      <c r="A46" s="112" t="s">
        <v>418</v>
      </c>
      <c r="B46" s="113" t="s">
        <v>32</v>
      </c>
      <c r="C46" s="113"/>
      <c r="D46" s="73"/>
      <c r="E46" s="73"/>
      <c r="F46" s="73"/>
    </row>
    <row r="47" spans="1:7" s="95" customFormat="1" hidden="1" x14ac:dyDescent="0.25">
      <c r="A47" s="112"/>
      <c r="B47" s="113"/>
      <c r="C47" s="113"/>
      <c r="D47" s="73"/>
      <c r="E47" s="73"/>
      <c r="F47" s="73"/>
    </row>
    <row r="48" spans="1:7" s="95" customFormat="1" ht="13.5" hidden="1" customHeight="1" x14ac:dyDescent="0.25">
      <c r="A48" s="112" t="s">
        <v>419</v>
      </c>
      <c r="B48" s="113" t="s">
        <v>32</v>
      </c>
      <c r="C48" s="113"/>
      <c r="D48" s="73"/>
      <c r="E48" s="73"/>
      <c r="F48" s="73"/>
    </row>
    <row r="49" spans="1:8" s="95" customFormat="1" hidden="1" x14ac:dyDescent="0.25">
      <c r="A49" s="112" t="s">
        <v>420</v>
      </c>
      <c r="B49" s="113" t="s">
        <v>32</v>
      </c>
      <c r="C49" s="113"/>
      <c r="D49" s="73"/>
      <c r="E49" s="73"/>
      <c r="F49" s="73"/>
    </row>
    <row r="50" spans="1:8" s="95" customFormat="1" ht="30" hidden="1" x14ac:dyDescent="0.25">
      <c r="A50" s="112" t="s">
        <v>421</v>
      </c>
      <c r="B50" s="113" t="s">
        <v>32</v>
      </c>
      <c r="C50" s="113"/>
      <c r="D50" s="73"/>
      <c r="E50" s="73"/>
      <c r="F50" s="73"/>
    </row>
    <row r="51" spans="1:8" s="65" customFormat="1" ht="14.25" x14ac:dyDescent="0.2">
      <c r="A51" s="110" t="s">
        <v>60</v>
      </c>
      <c r="B51" s="296" t="s">
        <v>32</v>
      </c>
      <c r="C51" s="296" t="s">
        <v>32</v>
      </c>
      <c r="D51" s="66">
        <f>SUM(D52,D53,D54,D55,D56,D57,D58,D65,D63,D81,D92,D93,D94,D95,D96,D97,D98,D62,D64)</f>
        <v>7375435.9499999993</v>
      </c>
      <c r="E51" s="66">
        <f t="shared" ref="E51:F51" si="6">SUM(E52,E53,E54,E55,E56,E57,E58,E65,E63,E81,E92,E93,E94,E95,E96,E97,E98,E62,E64)</f>
        <v>0</v>
      </c>
      <c r="F51" s="66">
        <f t="shared" si="6"/>
        <v>0</v>
      </c>
      <c r="G51" s="115" t="s">
        <v>427</v>
      </c>
    </row>
    <row r="52" spans="1:8" x14ac:dyDescent="0.25">
      <c r="A52" s="71" t="s">
        <v>306</v>
      </c>
      <c r="B52" s="72" t="s">
        <v>308</v>
      </c>
      <c r="C52" s="72" t="s">
        <v>309</v>
      </c>
      <c r="D52" s="73">
        <f t="shared" ref="D52:F57" si="7">SUM(D104,D156,D208,D262,D316,D370,D424,D478,D532,D584)</f>
        <v>68333</v>
      </c>
      <c r="E52" s="73">
        <f t="shared" si="7"/>
        <v>0</v>
      </c>
      <c r="F52" s="73">
        <f t="shared" si="7"/>
        <v>0</v>
      </c>
      <c r="G52" s="74"/>
    </row>
    <row r="53" spans="1:8" x14ac:dyDescent="0.25">
      <c r="A53" s="71" t="s">
        <v>310</v>
      </c>
      <c r="B53" s="72" t="s">
        <v>308</v>
      </c>
      <c r="C53" s="72" t="s">
        <v>311</v>
      </c>
      <c r="D53" s="73">
        <f t="shared" si="7"/>
        <v>100</v>
      </c>
      <c r="E53" s="73">
        <f t="shared" si="7"/>
        <v>0</v>
      </c>
      <c r="F53" s="73">
        <f t="shared" si="7"/>
        <v>0</v>
      </c>
      <c r="G53" s="74"/>
    </row>
    <row r="54" spans="1:8" s="76" customFormat="1" x14ac:dyDescent="0.25">
      <c r="A54" s="71" t="s">
        <v>312</v>
      </c>
      <c r="B54" s="72" t="s">
        <v>315</v>
      </c>
      <c r="C54" s="72" t="s">
        <v>311</v>
      </c>
      <c r="D54" s="73">
        <f t="shared" si="7"/>
        <v>0</v>
      </c>
      <c r="E54" s="73">
        <f t="shared" si="7"/>
        <v>0</v>
      </c>
      <c r="F54" s="73">
        <f t="shared" si="7"/>
        <v>0</v>
      </c>
      <c r="G54" s="75"/>
      <c r="H54" s="75"/>
    </row>
    <row r="55" spans="1:8" s="76" customFormat="1" x14ac:dyDescent="0.25">
      <c r="A55" s="71" t="s">
        <v>316</v>
      </c>
      <c r="B55" s="72" t="s">
        <v>315</v>
      </c>
      <c r="C55" s="72" t="s">
        <v>317</v>
      </c>
      <c r="D55" s="73">
        <f t="shared" si="7"/>
        <v>0</v>
      </c>
      <c r="E55" s="73">
        <f t="shared" si="7"/>
        <v>0</v>
      </c>
      <c r="F55" s="73">
        <f t="shared" si="7"/>
        <v>0</v>
      </c>
      <c r="G55" s="75"/>
      <c r="H55" s="75"/>
    </row>
    <row r="56" spans="1:8" s="76" customFormat="1" x14ac:dyDescent="0.25">
      <c r="A56" s="71" t="s">
        <v>318</v>
      </c>
      <c r="B56" s="72" t="s">
        <v>315</v>
      </c>
      <c r="C56" s="72" t="s">
        <v>311</v>
      </c>
      <c r="D56" s="73">
        <f t="shared" si="7"/>
        <v>0</v>
      </c>
      <c r="E56" s="73">
        <f t="shared" si="7"/>
        <v>0</v>
      </c>
      <c r="F56" s="73">
        <f t="shared" si="7"/>
        <v>0</v>
      </c>
      <c r="G56" s="75"/>
      <c r="H56" s="75"/>
    </row>
    <row r="57" spans="1:8" x14ac:dyDescent="0.25">
      <c r="A57" s="71" t="s">
        <v>319</v>
      </c>
      <c r="B57" s="72" t="s">
        <v>321</v>
      </c>
      <c r="C57" s="72" t="s">
        <v>322</v>
      </c>
      <c r="D57" s="73">
        <f t="shared" si="7"/>
        <v>20667</v>
      </c>
      <c r="E57" s="73">
        <f t="shared" si="7"/>
        <v>0</v>
      </c>
      <c r="F57" s="73">
        <f t="shared" si="7"/>
        <v>0</v>
      </c>
      <c r="G57" s="74"/>
    </row>
    <row r="58" spans="1:8" s="58" customFormat="1" ht="14.25" x14ac:dyDescent="0.2">
      <c r="A58" s="77" t="s">
        <v>323</v>
      </c>
      <c r="B58" s="78" t="s">
        <v>324</v>
      </c>
      <c r="C58" s="78" t="s">
        <v>325</v>
      </c>
      <c r="D58" s="79">
        <f>SUM(D59:D60)</f>
        <v>44845.369999999995</v>
      </c>
      <c r="E58" s="79">
        <f t="shared" ref="E58:F58" si="8">SUM(E59:E60)</f>
        <v>0</v>
      </c>
      <c r="F58" s="79">
        <f t="shared" si="8"/>
        <v>0</v>
      </c>
      <c r="G58" s="81"/>
    </row>
    <row r="59" spans="1:8" ht="30" x14ac:dyDescent="0.25">
      <c r="A59" s="71" t="s">
        <v>326</v>
      </c>
      <c r="B59" s="72" t="s">
        <v>324</v>
      </c>
      <c r="C59" s="72" t="s">
        <v>325</v>
      </c>
      <c r="D59" s="73">
        <f t="shared" ref="D59:F64" si="9">SUM(D111,D163,D215,D269,D323,D377,D431,D485,D539,D591)</f>
        <v>17725.34</v>
      </c>
      <c r="E59" s="73">
        <f t="shared" si="9"/>
        <v>0</v>
      </c>
      <c r="F59" s="73">
        <f t="shared" si="9"/>
        <v>0</v>
      </c>
      <c r="G59" s="74"/>
      <c r="H59" s="74"/>
    </row>
    <row r="60" spans="1:8" s="76" customFormat="1" x14ac:dyDescent="0.25">
      <c r="A60" s="71" t="s">
        <v>328</v>
      </c>
      <c r="B60" s="72" t="s">
        <v>324</v>
      </c>
      <c r="C60" s="72" t="s">
        <v>325</v>
      </c>
      <c r="D60" s="73">
        <f t="shared" si="9"/>
        <v>27120.03</v>
      </c>
      <c r="E60" s="73">
        <f t="shared" si="9"/>
        <v>0</v>
      </c>
      <c r="F60" s="73">
        <f t="shared" si="9"/>
        <v>0</v>
      </c>
      <c r="G60" s="75"/>
      <c r="H60" s="75"/>
    </row>
    <row r="61" spans="1:8" s="76" customFormat="1" x14ac:dyDescent="0.25">
      <c r="A61" s="77" t="s">
        <v>329</v>
      </c>
      <c r="B61" s="78" t="s">
        <v>324</v>
      </c>
      <c r="C61" s="78" t="s">
        <v>330</v>
      </c>
      <c r="D61" s="79">
        <f t="shared" si="9"/>
        <v>0</v>
      </c>
      <c r="E61" s="79">
        <f t="shared" si="9"/>
        <v>0</v>
      </c>
      <c r="F61" s="79">
        <f t="shared" si="9"/>
        <v>0</v>
      </c>
      <c r="H61" s="75"/>
    </row>
    <row r="62" spans="1:8" x14ac:dyDescent="0.25">
      <c r="A62" s="77" t="s">
        <v>741</v>
      </c>
      <c r="B62" s="78" t="s">
        <v>324</v>
      </c>
      <c r="C62" s="78" t="s">
        <v>333</v>
      </c>
      <c r="D62" s="79">
        <f t="shared" si="9"/>
        <v>2519</v>
      </c>
      <c r="E62" s="79">
        <f t="shared" si="9"/>
        <v>0</v>
      </c>
      <c r="F62" s="79">
        <f t="shared" si="9"/>
        <v>0</v>
      </c>
      <c r="G62" s="74"/>
      <c r="H62" s="74"/>
    </row>
    <row r="63" spans="1:8" x14ac:dyDescent="0.25">
      <c r="A63" s="77" t="s">
        <v>742</v>
      </c>
      <c r="B63" s="151" t="s">
        <v>667</v>
      </c>
      <c r="C63" s="78" t="s">
        <v>333</v>
      </c>
      <c r="D63" s="79">
        <f t="shared" si="9"/>
        <v>16030</v>
      </c>
      <c r="E63" s="79">
        <f t="shared" si="9"/>
        <v>0</v>
      </c>
      <c r="F63" s="79">
        <f t="shared" si="9"/>
        <v>0</v>
      </c>
      <c r="G63" s="76"/>
      <c r="H63" s="75"/>
    </row>
    <row r="64" spans="1:8" s="76" customFormat="1" x14ac:dyDescent="0.25">
      <c r="A64" s="150" t="s">
        <v>336</v>
      </c>
      <c r="B64" s="151" t="s">
        <v>324</v>
      </c>
      <c r="C64" s="78" t="s">
        <v>337</v>
      </c>
      <c r="D64" s="73">
        <f t="shared" si="9"/>
        <v>0</v>
      </c>
      <c r="E64" s="73">
        <f t="shared" si="9"/>
        <v>0</v>
      </c>
      <c r="F64" s="73">
        <f t="shared" si="9"/>
        <v>0</v>
      </c>
      <c r="G64" s="75"/>
      <c r="H64" s="75"/>
    </row>
    <row r="65" spans="1:8" s="58" customFormat="1" ht="18" customHeight="1" x14ac:dyDescent="0.2">
      <c r="A65" s="77" t="s">
        <v>338</v>
      </c>
      <c r="B65" s="78" t="s">
        <v>324</v>
      </c>
      <c r="C65" s="78" t="s">
        <v>339</v>
      </c>
      <c r="D65" s="80">
        <f>SUM(D66:D80)</f>
        <v>7260</v>
      </c>
      <c r="E65" s="80">
        <f t="shared" ref="E65:F65" si="10">SUM(E66:E80)</f>
        <v>0</v>
      </c>
      <c r="F65" s="80">
        <f t="shared" si="10"/>
        <v>0</v>
      </c>
      <c r="G65" s="81"/>
      <c r="H65" s="81"/>
    </row>
    <row r="66" spans="1:8" ht="30" hidden="1" x14ac:dyDescent="0.25">
      <c r="A66" s="71" t="s">
        <v>340</v>
      </c>
      <c r="B66" s="72" t="s">
        <v>324</v>
      </c>
      <c r="C66" s="72" t="s">
        <v>339</v>
      </c>
      <c r="D66" s="73">
        <f t="shared" ref="D66:F80" si="11">SUM(D118,D170,D222,D276,D330,D384,D438,D492,D546,D598)</f>
        <v>0</v>
      </c>
      <c r="E66" s="73">
        <f t="shared" si="11"/>
        <v>0</v>
      </c>
      <c r="F66" s="73">
        <f t="shared" si="11"/>
        <v>0</v>
      </c>
      <c r="G66" s="74"/>
      <c r="H66" s="74"/>
    </row>
    <row r="67" spans="1:8" s="84" customFormat="1" ht="15" hidden="1" customHeight="1" x14ac:dyDescent="0.25">
      <c r="A67" s="71" t="s">
        <v>342</v>
      </c>
      <c r="B67" s="72" t="s">
        <v>324</v>
      </c>
      <c r="C67" s="72" t="s">
        <v>339</v>
      </c>
      <c r="D67" s="73">
        <f t="shared" si="11"/>
        <v>0</v>
      </c>
      <c r="E67" s="73">
        <f t="shared" si="11"/>
        <v>0</v>
      </c>
      <c r="F67" s="73">
        <f t="shared" si="11"/>
        <v>0</v>
      </c>
      <c r="H67" s="85"/>
    </row>
    <row r="68" spans="1:8" ht="30" hidden="1" x14ac:dyDescent="0.25">
      <c r="A68" s="71" t="s">
        <v>344</v>
      </c>
      <c r="B68" s="72" t="s">
        <v>324</v>
      </c>
      <c r="C68" s="72" t="s">
        <v>339</v>
      </c>
      <c r="D68" s="73">
        <f t="shared" si="11"/>
        <v>0</v>
      </c>
      <c r="E68" s="73">
        <f t="shared" si="11"/>
        <v>0</v>
      </c>
      <c r="F68" s="73">
        <f t="shared" si="11"/>
        <v>0</v>
      </c>
      <c r="G68" s="74"/>
      <c r="H68" s="74"/>
    </row>
    <row r="69" spans="1:8" ht="15" hidden="1" customHeight="1" x14ac:dyDescent="0.25">
      <c r="A69" s="71" t="s">
        <v>346</v>
      </c>
      <c r="B69" s="72" t="s">
        <v>324</v>
      </c>
      <c r="C69" s="72" t="s">
        <v>339</v>
      </c>
      <c r="D69" s="73">
        <f t="shared" si="11"/>
        <v>0</v>
      </c>
      <c r="E69" s="73">
        <f t="shared" si="11"/>
        <v>0</v>
      </c>
      <c r="F69" s="73">
        <f t="shared" si="11"/>
        <v>0</v>
      </c>
      <c r="G69" s="74"/>
      <c r="H69" s="74"/>
    </row>
    <row r="70" spans="1:8" ht="16.5" hidden="1" customHeight="1" x14ac:dyDescent="0.25">
      <c r="A70" s="71" t="s">
        <v>347</v>
      </c>
      <c r="B70" s="72" t="s">
        <v>324</v>
      </c>
      <c r="C70" s="72" t="s">
        <v>339</v>
      </c>
      <c r="D70" s="73">
        <f t="shared" si="11"/>
        <v>0</v>
      </c>
      <c r="E70" s="73">
        <f t="shared" si="11"/>
        <v>0</v>
      </c>
      <c r="F70" s="73">
        <f t="shared" si="11"/>
        <v>0</v>
      </c>
      <c r="H70" s="74"/>
    </row>
    <row r="71" spans="1:8" ht="14.25" hidden="1" customHeight="1" x14ac:dyDescent="0.25">
      <c r="A71" s="71" t="s">
        <v>348</v>
      </c>
      <c r="B71" s="72" t="s">
        <v>324</v>
      </c>
      <c r="C71" s="72" t="s">
        <v>339</v>
      </c>
      <c r="D71" s="73">
        <f t="shared" si="11"/>
        <v>0</v>
      </c>
      <c r="E71" s="73">
        <f t="shared" si="11"/>
        <v>0</v>
      </c>
      <c r="F71" s="73">
        <f t="shared" si="11"/>
        <v>0</v>
      </c>
      <c r="H71" s="74"/>
    </row>
    <row r="72" spans="1:8" ht="14.25" hidden="1" customHeight="1" x14ac:dyDescent="0.25">
      <c r="A72" s="71" t="s">
        <v>349</v>
      </c>
      <c r="B72" s="72" t="s">
        <v>324</v>
      </c>
      <c r="C72" s="72" t="s">
        <v>339</v>
      </c>
      <c r="D72" s="73">
        <f t="shared" si="11"/>
        <v>0</v>
      </c>
      <c r="E72" s="73">
        <f t="shared" si="11"/>
        <v>0</v>
      </c>
      <c r="F72" s="73">
        <f t="shared" si="11"/>
        <v>0</v>
      </c>
      <c r="H72" s="74"/>
    </row>
    <row r="73" spans="1:8" ht="14.25" hidden="1" customHeight="1" x14ac:dyDescent="0.25">
      <c r="A73" s="71" t="s">
        <v>350</v>
      </c>
      <c r="B73" s="72" t="s">
        <v>324</v>
      </c>
      <c r="C73" s="72" t="s">
        <v>339</v>
      </c>
      <c r="D73" s="73">
        <f t="shared" si="11"/>
        <v>0</v>
      </c>
      <c r="E73" s="73">
        <f t="shared" si="11"/>
        <v>0</v>
      </c>
      <c r="F73" s="73">
        <f t="shared" si="11"/>
        <v>0</v>
      </c>
      <c r="H73" s="74"/>
    </row>
    <row r="74" spans="1:8" ht="14.25" customHeight="1" x14ac:dyDescent="0.25">
      <c r="A74" s="71" t="s">
        <v>351</v>
      </c>
      <c r="B74" s="72" t="s">
        <v>324</v>
      </c>
      <c r="C74" s="72" t="s">
        <v>339</v>
      </c>
      <c r="D74" s="73">
        <f t="shared" si="11"/>
        <v>0</v>
      </c>
      <c r="E74" s="73">
        <f t="shared" si="11"/>
        <v>0</v>
      </c>
      <c r="F74" s="73">
        <f t="shared" si="11"/>
        <v>0</v>
      </c>
      <c r="H74" s="74"/>
    </row>
    <row r="75" spans="1:8" ht="14.25" customHeight="1" x14ac:dyDescent="0.25">
      <c r="A75" s="71" t="s">
        <v>352</v>
      </c>
      <c r="B75" s="72" t="s">
        <v>324</v>
      </c>
      <c r="C75" s="72" t="s">
        <v>339</v>
      </c>
      <c r="D75" s="73">
        <f t="shared" si="11"/>
        <v>0</v>
      </c>
      <c r="E75" s="73">
        <f t="shared" si="11"/>
        <v>0</v>
      </c>
      <c r="F75" s="73">
        <f t="shared" si="11"/>
        <v>0</v>
      </c>
      <c r="H75" s="74"/>
    </row>
    <row r="76" spans="1:8" ht="14.25" customHeight="1" x14ac:dyDescent="0.25">
      <c r="A76" s="71" t="s">
        <v>353</v>
      </c>
      <c r="B76" s="72" t="s">
        <v>324</v>
      </c>
      <c r="C76" s="72" t="s">
        <v>339</v>
      </c>
      <c r="D76" s="73">
        <f t="shared" si="11"/>
        <v>5460</v>
      </c>
      <c r="E76" s="73">
        <f t="shared" si="11"/>
        <v>0</v>
      </c>
      <c r="F76" s="73">
        <f t="shared" si="11"/>
        <v>0</v>
      </c>
      <c r="H76" s="74"/>
    </row>
    <row r="77" spans="1:8" ht="14.25" customHeight="1" x14ac:dyDescent="0.25">
      <c r="A77" s="71" t="s">
        <v>354</v>
      </c>
      <c r="B77" s="72" t="s">
        <v>324</v>
      </c>
      <c r="C77" s="72" t="s">
        <v>339</v>
      </c>
      <c r="D77" s="73">
        <f t="shared" si="11"/>
        <v>0</v>
      </c>
      <c r="E77" s="73">
        <f t="shared" si="11"/>
        <v>0</v>
      </c>
      <c r="F77" s="73">
        <f t="shared" si="11"/>
        <v>0</v>
      </c>
      <c r="H77" s="74"/>
    </row>
    <row r="78" spans="1:8" ht="14.25" customHeight="1" x14ac:dyDescent="0.25">
      <c r="A78" s="71" t="s">
        <v>355</v>
      </c>
      <c r="B78" s="72" t="s">
        <v>324</v>
      </c>
      <c r="C78" s="72" t="s">
        <v>339</v>
      </c>
      <c r="D78" s="73">
        <f t="shared" si="11"/>
        <v>0</v>
      </c>
      <c r="E78" s="73">
        <f t="shared" si="11"/>
        <v>0</v>
      </c>
      <c r="F78" s="73">
        <f t="shared" si="11"/>
        <v>0</v>
      </c>
      <c r="H78" s="74"/>
    </row>
    <row r="79" spans="1:8" ht="14.25" customHeight="1" x14ac:dyDescent="0.25">
      <c r="A79" s="71" t="s">
        <v>356</v>
      </c>
      <c r="B79" s="72" t="s">
        <v>324</v>
      </c>
      <c r="C79" s="72" t="s">
        <v>339</v>
      </c>
      <c r="D79" s="73">
        <f t="shared" si="11"/>
        <v>0</v>
      </c>
      <c r="E79" s="73">
        <f t="shared" si="11"/>
        <v>0</v>
      </c>
      <c r="F79" s="73">
        <f t="shared" si="11"/>
        <v>0</v>
      </c>
      <c r="H79" s="74"/>
    </row>
    <row r="80" spans="1:8" ht="14.25" customHeight="1" x14ac:dyDescent="0.25">
      <c r="A80" s="71" t="s">
        <v>357</v>
      </c>
      <c r="B80" s="72" t="s">
        <v>324</v>
      </c>
      <c r="C80" s="72" t="s">
        <v>339</v>
      </c>
      <c r="D80" s="73">
        <f t="shared" si="11"/>
        <v>1800</v>
      </c>
      <c r="E80" s="73">
        <f t="shared" si="11"/>
        <v>0</v>
      </c>
      <c r="F80" s="73">
        <f t="shared" si="11"/>
        <v>0</v>
      </c>
      <c r="H80" s="74"/>
    </row>
    <row r="81" spans="1:8" s="58" customFormat="1" ht="18" customHeight="1" x14ac:dyDescent="0.2">
      <c r="A81" s="77" t="s">
        <v>359</v>
      </c>
      <c r="B81" s="78" t="s">
        <v>324</v>
      </c>
      <c r="C81" s="78" t="s">
        <v>317</v>
      </c>
      <c r="D81" s="80">
        <f>SUM(D82:D91)</f>
        <v>147982.91999999998</v>
      </c>
      <c r="E81" s="80">
        <f t="shared" ref="E81:F81" si="12">SUM(E82:E91)</f>
        <v>0</v>
      </c>
      <c r="F81" s="80">
        <f t="shared" si="12"/>
        <v>0</v>
      </c>
      <c r="G81" s="81"/>
      <c r="H81" s="81"/>
    </row>
    <row r="82" spans="1:8" s="76" customFormat="1" x14ac:dyDescent="0.25">
      <c r="A82" s="71" t="s">
        <v>360</v>
      </c>
      <c r="B82" s="72" t="s">
        <v>324</v>
      </c>
      <c r="C82" s="72" t="s">
        <v>317</v>
      </c>
      <c r="D82" s="73">
        <f t="shared" ref="D82:F97" si="13">SUM(D134,D186,D238,D292,D346,D400,D454,D508,D562,D614)</f>
        <v>10095.42</v>
      </c>
      <c r="E82" s="73">
        <f t="shared" si="13"/>
        <v>0</v>
      </c>
      <c r="F82" s="73">
        <f t="shared" si="13"/>
        <v>0</v>
      </c>
      <c r="G82" s="63"/>
      <c r="H82" s="74"/>
    </row>
    <row r="83" spans="1:8" ht="14.25" customHeight="1" x14ac:dyDescent="0.25">
      <c r="A83" s="71" t="s">
        <v>362</v>
      </c>
      <c r="B83" s="72" t="s">
        <v>324</v>
      </c>
      <c r="C83" s="72" t="s">
        <v>317</v>
      </c>
      <c r="D83" s="73">
        <f t="shared" si="13"/>
        <v>0</v>
      </c>
      <c r="E83" s="73">
        <f t="shared" si="13"/>
        <v>0</v>
      </c>
      <c r="F83" s="73">
        <f t="shared" si="13"/>
        <v>0</v>
      </c>
      <c r="H83" s="74"/>
    </row>
    <row r="84" spans="1:8" ht="14.25" customHeight="1" x14ac:dyDescent="0.25">
      <c r="A84" s="71" t="s">
        <v>363</v>
      </c>
      <c r="B84" s="72" t="s">
        <v>324</v>
      </c>
      <c r="C84" s="72" t="s">
        <v>317</v>
      </c>
      <c r="D84" s="73">
        <f t="shared" si="13"/>
        <v>12000</v>
      </c>
      <c r="E84" s="73">
        <f t="shared" si="13"/>
        <v>0</v>
      </c>
      <c r="F84" s="73">
        <f t="shared" si="13"/>
        <v>0</v>
      </c>
      <c r="H84" s="74"/>
    </row>
    <row r="85" spans="1:8" ht="14.25" customHeight="1" x14ac:dyDescent="0.25">
      <c r="A85" s="71" t="s">
        <v>478</v>
      </c>
      <c r="B85" s="72" t="s">
        <v>324</v>
      </c>
      <c r="C85" s="72" t="s">
        <v>317</v>
      </c>
      <c r="D85" s="73">
        <f t="shared" si="13"/>
        <v>0</v>
      </c>
      <c r="E85" s="73">
        <f t="shared" si="13"/>
        <v>0</v>
      </c>
      <c r="F85" s="73">
        <f t="shared" si="13"/>
        <v>0</v>
      </c>
      <c r="H85" s="74"/>
    </row>
    <row r="86" spans="1:8" ht="14.25" customHeight="1" x14ac:dyDescent="0.25">
      <c r="A86" s="71" t="s">
        <v>454</v>
      </c>
      <c r="B86" s="72" t="s">
        <v>324</v>
      </c>
      <c r="C86" s="72" t="s">
        <v>317</v>
      </c>
      <c r="D86" s="73">
        <f t="shared" si="13"/>
        <v>13125</v>
      </c>
      <c r="E86" s="73">
        <f t="shared" si="13"/>
        <v>0</v>
      </c>
      <c r="F86" s="73">
        <f t="shared" si="13"/>
        <v>0</v>
      </c>
      <c r="H86" s="74"/>
    </row>
    <row r="87" spans="1:8" ht="14.25" customHeight="1" x14ac:dyDescent="0.25">
      <c r="A87" s="71" t="s">
        <v>455</v>
      </c>
      <c r="B87" s="72" t="s">
        <v>324</v>
      </c>
      <c r="C87" s="72" t="s">
        <v>317</v>
      </c>
      <c r="D87" s="73">
        <f t="shared" si="13"/>
        <v>83802</v>
      </c>
      <c r="E87" s="73">
        <f t="shared" si="13"/>
        <v>0</v>
      </c>
      <c r="F87" s="73">
        <f t="shared" si="13"/>
        <v>0</v>
      </c>
      <c r="H87" s="74"/>
    </row>
    <row r="88" spans="1:8" ht="14.25" customHeight="1" x14ac:dyDescent="0.25">
      <c r="A88" s="71" t="s">
        <v>743</v>
      </c>
      <c r="B88" s="72" t="s">
        <v>324</v>
      </c>
      <c r="C88" s="72" t="s">
        <v>317</v>
      </c>
      <c r="D88" s="73">
        <f t="shared" si="13"/>
        <v>7425</v>
      </c>
      <c r="E88" s="73">
        <f t="shared" si="13"/>
        <v>0</v>
      </c>
      <c r="F88" s="73">
        <f t="shared" si="13"/>
        <v>0</v>
      </c>
      <c r="H88" s="74"/>
    </row>
    <row r="89" spans="1:8" ht="14.25" customHeight="1" x14ac:dyDescent="0.25">
      <c r="A89" s="71" t="s">
        <v>368</v>
      </c>
      <c r="B89" s="72" t="s">
        <v>324</v>
      </c>
      <c r="C89" s="72" t="s">
        <v>317</v>
      </c>
      <c r="D89" s="73">
        <f t="shared" si="13"/>
        <v>7135.5</v>
      </c>
      <c r="E89" s="73">
        <f t="shared" si="13"/>
        <v>0</v>
      </c>
      <c r="F89" s="73">
        <f t="shared" si="13"/>
        <v>0</v>
      </c>
      <c r="H89" s="74"/>
    </row>
    <row r="90" spans="1:8" ht="14.25" customHeight="1" x14ac:dyDescent="0.25">
      <c r="A90" s="71" t="s">
        <v>369</v>
      </c>
      <c r="B90" s="72" t="s">
        <v>324</v>
      </c>
      <c r="C90" s="72" t="s">
        <v>317</v>
      </c>
      <c r="D90" s="73">
        <f t="shared" si="13"/>
        <v>14400</v>
      </c>
      <c r="E90" s="73">
        <f t="shared" si="13"/>
        <v>0</v>
      </c>
      <c r="F90" s="73">
        <f t="shared" si="13"/>
        <v>0</v>
      </c>
      <c r="H90" s="74"/>
    </row>
    <row r="91" spans="1:8" ht="14.25" customHeight="1" x14ac:dyDescent="0.25">
      <c r="A91" s="71" t="s">
        <v>370</v>
      </c>
      <c r="B91" s="72" t="s">
        <v>324</v>
      </c>
      <c r="C91" s="72" t="s">
        <v>317</v>
      </c>
      <c r="D91" s="73">
        <f t="shared" si="13"/>
        <v>0</v>
      </c>
      <c r="E91" s="73">
        <f t="shared" si="13"/>
        <v>0</v>
      </c>
      <c r="F91" s="73">
        <f t="shared" si="13"/>
        <v>0</v>
      </c>
      <c r="H91" s="74"/>
    </row>
    <row r="92" spans="1:8" x14ac:dyDescent="0.25">
      <c r="A92" s="77" t="s">
        <v>371</v>
      </c>
      <c r="B92" s="78" t="s">
        <v>372</v>
      </c>
      <c r="C92" s="78" t="s">
        <v>373</v>
      </c>
      <c r="D92" s="79">
        <f t="shared" si="13"/>
        <v>0</v>
      </c>
      <c r="E92" s="79">
        <f t="shared" si="13"/>
        <v>0</v>
      </c>
      <c r="F92" s="79">
        <f t="shared" si="13"/>
        <v>0</v>
      </c>
      <c r="H92" s="74"/>
    </row>
    <row r="93" spans="1:8" s="76" customFormat="1" x14ac:dyDescent="0.25">
      <c r="A93" s="71" t="s">
        <v>374</v>
      </c>
      <c r="B93" s="72" t="s">
        <v>376</v>
      </c>
      <c r="C93" s="72" t="s">
        <v>377</v>
      </c>
      <c r="D93" s="73">
        <f t="shared" si="13"/>
        <v>0</v>
      </c>
      <c r="E93" s="73">
        <f t="shared" si="13"/>
        <v>0</v>
      </c>
      <c r="F93" s="73">
        <f t="shared" si="13"/>
        <v>0</v>
      </c>
      <c r="G93" s="75"/>
      <c r="H93" s="75"/>
    </row>
    <row r="94" spans="1:8" s="76" customFormat="1" x14ac:dyDescent="0.25">
      <c r="A94" s="71" t="s">
        <v>378</v>
      </c>
      <c r="B94" s="72" t="s">
        <v>379</v>
      </c>
      <c r="C94" s="72" t="s">
        <v>380</v>
      </c>
      <c r="D94" s="73">
        <f t="shared" si="13"/>
        <v>0</v>
      </c>
      <c r="E94" s="73">
        <f t="shared" si="13"/>
        <v>0</v>
      </c>
      <c r="F94" s="73">
        <f t="shared" si="13"/>
        <v>0</v>
      </c>
      <c r="H94" s="75"/>
    </row>
    <row r="95" spans="1:8" ht="15" customHeight="1" x14ac:dyDescent="0.25">
      <c r="A95" s="71" t="s">
        <v>381</v>
      </c>
      <c r="B95" s="72" t="s">
        <v>383</v>
      </c>
      <c r="C95" s="72" t="s">
        <v>377</v>
      </c>
      <c r="D95" s="73">
        <f t="shared" si="13"/>
        <v>0</v>
      </c>
      <c r="E95" s="73">
        <f t="shared" si="13"/>
        <v>0</v>
      </c>
      <c r="F95" s="73">
        <f t="shared" si="13"/>
        <v>0</v>
      </c>
      <c r="G95" s="74"/>
      <c r="H95" s="74"/>
    </row>
    <row r="96" spans="1:8" x14ac:dyDescent="0.25">
      <c r="A96" s="71" t="s">
        <v>384</v>
      </c>
      <c r="B96" s="72" t="s">
        <v>383</v>
      </c>
      <c r="C96" s="72" t="s">
        <v>377</v>
      </c>
      <c r="D96" s="73">
        <f t="shared" si="13"/>
        <v>0</v>
      </c>
      <c r="E96" s="73">
        <f t="shared" si="13"/>
        <v>0</v>
      </c>
      <c r="F96" s="73">
        <f t="shared" si="13"/>
        <v>0</v>
      </c>
      <c r="G96" s="74"/>
      <c r="H96" s="74"/>
    </row>
    <row r="97" spans="1:8" s="76" customFormat="1" x14ac:dyDescent="0.25">
      <c r="A97" s="150" t="s">
        <v>385</v>
      </c>
      <c r="B97" s="151" t="s">
        <v>324</v>
      </c>
      <c r="C97" s="78" t="s">
        <v>386</v>
      </c>
      <c r="D97" s="79">
        <f t="shared" si="13"/>
        <v>1332.65</v>
      </c>
      <c r="E97" s="79">
        <f t="shared" si="13"/>
        <v>0</v>
      </c>
      <c r="F97" s="79">
        <f t="shared" si="13"/>
        <v>0</v>
      </c>
      <c r="G97" s="75"/>
      <c r="H97" s="75"/>
    </row>
    <row r="98" spans="1:8" s="58" customFormat="1" ht="28.5" x14ac:dyDescent="0.2">
      <c r="A98" s="77" t="s">
        <v>387</v>
      </c>
      <c r="B98" s="78" t="s">
        <v>324</v>
      </c>
      <c r="C98" s="78" t="s">
        <v>388</v>
      </c>
      <c r="D98" s="80">
        <f>SUM(D99:D102)</f>
        <v>7066366.0099999988</v>
      </c>
      <c r="E98" s="80">
        <f t="shared" ref="E98:F98" si="14">SUM(E99:E102)</f>
        <v>0</v>
      </c>
      <c r="F98" s="80">
        <f t="shared" si="14"/>
        <v>0</v>
      </c>
      <c r="G98" s="81"/>
      <c r="H98" s="81"/>
    </row>
    <row r="99" spans="1:8" s="76" customFormat="1" ht="15" customHeight="1" x14ac:dyDescent="0.25">
      <c r="A99" s="82" t="s">
        <v>459</v>
      </c>
      <c r="B99" s="83" t="s">
        <v>324</v>
      </c>
      <c r="C99" s="72" t="s">
        <v>464</v>
      </c>
      <c r="D99" s="73">
        <f>SUM(D151,D203,D257,D310,D364,D419,D473,D526,D579,D631)</f>
        <v>6407528.6999999993</v>
      </c>
      <c r="E99" s="73">
        <f t="shared" ref="D99:F102" si="15">SUM(E151,E203,E257,E311,E365,E419,E473,E527,E579,E631)</f>
        <v>0</v>
      </c>
      <c r="F99" s="73">
        <f t="shared" si="15"/>
        <v>0</v>
      </c>
      <c r="G99" s="75"/>
      <c r="H99" s="75"/>
    </row>
    <row r="100" spans="1:8" s="76" customFormat="1" ht="15" customHeight="1" x14ac:dyDescent="0.25">
      <c r="A100" s="82" t="s">
        <v>744</v>
      </c>
      <c r="B100" s="83" t="s">
        <v>324</v>
      </c>
      <c r="C100" s="72" t="s">
        <v>509</v>
      </c>
      <c r="D100" s="73">
        <f>SUM(D152,D204,D258,D312,D366,D420,D474,D528,D580,D632)</f>
        <v>210053.71999999997</v>
      </c>
      <c r="E100" s="73">
        <f t="shared" si="15"/>
        <v>0</v>
      </c>
      <c r="F100" s="73">
        <f t="shared" si="15"/>
        <v>0</v>
      </c>
      <c r="G100" s="75"/>
      <c r="H100" s="75"/>
    </row>
    <row r="101" spans="1:8" s="76" customFormat="1" ht="15" customHeight="1" x14ac:dyDescent="0.25">
      <c r="A101" s="82" t="s">
        <v>393</v>
      </c>
      <c r="B101" s="83" t="s">
        <v>324</v>
      </c>
      <c r="C101" s="72" t="s">
        <v>392</v>
      </c>
      <c r="D101" s="73">
        <f>SUM(D153,D205,D259,D313,D367,D421,D475,D529,D581,D633)</f>
        <v>448783.58999999997</v>
      </c>
      <c r="E101" s="73">
        <f t="shared" si="15"/>
        <v>0</v>
      </c>
      <c r="F101" s="73">
        <f t="shared" si="15"/>
        <v>0</v>
      </c>
      <c r="G101" s="75"/>
      <c r="H101" s="75"/>
    </row>
    <row r="102" spans="1:8" s="76" customFormat="1" ht="15" customHeight="1" x14ac:dyDescent="0.25">
      <c r="A102" s="82" t="s">
        <v>394</v>
      </c>
      <c r="B102" s="83" t="s">
        <v>324</v>
      </c>
      <c r="C102" s="72" t="s">
        <v>392</v>
      </c>
      <c r="D102" s="73">
        <f t="shared" si="15"/>
        <v>0</v>
      </c>
      <c r="E102" s="73">
        <f t="shared" si="15"/>
        <v>0</v>
      </c>
      <c r="F102" s="73">
        <f t="shared" si="15"/>
        <v>0</v>
      </c>
      <c r="G102" s="75"/>
      <c r="H102" s="75"/>
    </row>
    <row r="103" spans="1:8" s="58" customFormat="1" ht="14.25" hidden="1" x14ac:dyDescent="0.2">
      <c r="A103" s="116" t="s">
        <v>428</v>
      </c>
      <c r="B103" s="87"/>
      <c r="C103" s="87"/>
      <c r="D103" s="79">
        <f>SUM(D104,D105,D106,D107,D108,D109,D110,D117,D115,D133,D144,D145,D146,D147,D148,D149,D150,D114,D116)</f>
        <v>0</v>
      </c>
      <c r="E103" s="79">
        <f t="shared" ref="E103:F103" si="16">SUM(E104,E105,E106,E107,E108,E109,E110,E117,E115,E133,E144,E145,E146,E147,E148,E149,E150,E114,E116)</f>
        <v>0</v>
      </c>
      <c r="F103" s="79">
        <f t="shared" si="16"/>
        <v>0</v>
      </c>
    </row>
    <row r="104" spans="1:8" hidden="1" x14ac:dyDescent="0.25">
      <c r="A104" s="71" t="s">
        <v>306</v>
      </c>
      <c r="B104" s="72" t="s">
        <v>308</v>
      </c>
      <c r="C104" s="72" t="s">
        <v>309</v>
      </c>
      <c r="D104" s="73"/>
      <c r="E104" s="73"/>
      <c r="F104" s="73"/>
      <c r="G104" s="74"/>
    </row>
    <row r="105" spans="1:8" hidden="1" x14ac:dyDescent="0.25">
      <c r="A105" s="71" t="s">
        <v>310</v>
      </c>
      <c r="B105" s="72" t="s">
        <v>308</v>
      </c>
      <c r="C105" s="72" t="s">
        <v>311</v>
      </c>
      <c r="D105" s="73"/>
      <c r="E105" s="73"/>
      <c r="F105" s="73"/>
      <c r="G105" s="74"/>
    </row>
    <row r="106" spans="1:8" s="76" customFormat="1" hidden="1" x14ac:dyDescent="0.25">
      <c r="A106" s="71" t="s">
        <v>312</v>
      </c>
      <c r="B106" s="72" t="s">
        <v>315</v>
      </c>
      <c r="C106" s="72" t="s">
        <v>311</v>
      </c>
      <c r="D106" s="73"/>
      <c r="E106" s="73"/>
      <c r="F106" s="73"/>
      <c r="G106" s="75"/>
      <c r="H106" s="75"/>
    </row>
    <row r="107" spans="1:8" s="76" customFormat="1" hidden="1" x14ac:dyDescent="0.25">
      <c r="A107" s="71" t="s">
        <v>316</v>
      </c>
      <c r="B107" s="72" t="s">
        <v>315</v>
      </c>
      <c r="C107" s="72" t="s">
        <v>317</v>
      </c>
      <c r="D107" s="73"/>
      <c r="E107" s="73"/>
      <c r="F107" s="73"/>
      <c r="G107" s="75"/>
      <c r="H107" s="75"/>
    </row>
    <row r="108" spans="1:8" s="76" customFormat="1" hidden="1" x14ac:dyDescent="0.25">
      <c r="A108" s="71" t="s">
        <v>318</v>
      </c>
      <c r="B108" s="72" t="s">
        <v>315</v>
      </c>
      <c r="C108" s="72" t="s">
        <v>311</v>
      </c>
      <c r="D108" s="73"/>
      <c r="E108" s="73"/>
      <c r="F108" s="73"/>
      <c r="G108" s="75"/>
      <c r="H108" s="75"/>
    </row>
    <row r="109" spans="1:8" hidden="1" x14ac:dyDescent="0.25">
      <c r="A109" s="71" t="s">
        <v>319</v>
      </c>
      <c r="B109" s="72" t="s">
        <v>321</v>
      </c>
      <c r="C109" s="72" t="s">
        <v>322</v>
      </c>
      <c r="D109" s="73"/>
      <c r="E109" s="73"/>
      <c r="F109" s="73"/>
      <c r="G109" s="74"/>
    </row>
    <row r="110" spans="1:8" s="58" customFormat="1" ht="14.25" hidden="1" x14ac:dyDescent="0.2">
      <c r="A110" s="77" t="s">
        <v>323</v>
      </c>
      <c r="B110" s="78" t="s">
        <v>324</v>
      </c>
      <c r="C110" s="78" t="s">
        <v>325</v>
      </c>
      <c r="D110" s="79">
        <f>SUM(D111:D112)</f>
        <v>0</v>
      </c>
      <c r="E110" s="79">
        <f t="shared" ref="E110:F110" si="17">SUM(E111:E112)</f>
        <v>0</v>
      </c>
      <c r="F110" s="79">
        <f t="shared" si="17"/>
        <v>0</v>
      </c>
      <c r="G110" s="81"/>
    </row>
    <row r="111" spans="1:8" ht="30" hidden="1" x14ac:dyDescent="0.25">
      <c r="A111" s="71" t="s">
        <v>326</v>
      </c>
      <c r="B111" s="72" t="s">
        <v>324</v>
      </c>
      <c r="C111" s="72" t="s">
        <v>325</v>
      </c>
      <c r="D111" s="73"/>
      <c r="E111" s="73"/>
      <c r="F111" s="73"/>
      <c r="G111" s="74"/>
      <c r="H111" s="74"/>
    </row>
    <row r="112" spans="1:8" s="76" customFormat="1" hidden="1" x14ac:dyDescent="0.25">
      <c r="A112" s="71" t="s">
        <v>328</v>
      </c>
      <c r="B112" s="72" t="s">
        <v>324</v>
      </c>
      <c r="C112" s="72" t="s">
        <v>325</v>
      </c>
      <c r="D112" s="73"/>
      <c r="E112" s="73"/>
      <c r="F112" s="73"/>
      <c r="G112" s="75"/>
      <c r="H112" s="75"/>
    </row>
    <row r="113" spans="1:8" s="76" customFormat="1" hidden="1" x14ac:dyDescent="0.25">
      <c r="A113" s="71" t="s">
        <v>329</v>
      </c>
      <c r="B113" s="72" t="s">
        <v>324</v>
      </c>
      <c r="C113" s="72" t="s">
        <v>330</v>
      </c>
      <c r="D113" s="73"/>
      <c r="E113" s="73"/>
      <c r="F113" s="73"/>
      <c r="H113" s="75"/>
    </row>
    <row r="114" spans="1:8" hidden="1" x14ac:dyDescent="0.25">
      <c r="A114" s="71" t="s">
        <v>331</v>
      </c>
      <c r="B114" s="72" t="s">
        <v>324</v>
      </c>
      <c r="C114" s="72" t="s">
        <v>333</v>
      </c>
      <c r="D114" s="73"/>
      <c r="E114" s="73"/>
      <c r="F114" s="73"/>
      <c r="G114" s="74"/>
      <c r="H114" s="74"/>
    </row>
    <row r="115" spans="1:8" hidden="1" x14ac:dyDescent="0.25">
      <c r="A115" s="82" t="s">
        <v>334</v>
      </c>
      <c r="B115" s="83" t="s">
        <v>324</v>
      </c>
      <c r="C115" s="72" t="s">
        <v>333</v>
      </c>
      <c r="D115" s="73"/>
      <c r="E115" s="73"/>
      <c r="F115" s="73"/>
      <c r="G115" s="76"/>
      <c r="H115" s="75"/>
    </row>
    <row r="116" spans="1:8" s="76" customFormat="1" hidden="1" x14ac:dyDescent="0.25">
      <c r="A116" s="82" t="s">
        <v>336</v>
      </c>
      <c r="B116" s="83" t="s">
        <v>324</v>
      </c>
      <c r="C116" s="72" t="s">
        <v>337</v>
      </c>
      <c r="D116" s="73"/>
      <c r="E116" s="73"/>
      <c r="F116" s="73"/>
      <c r="G116" s="75"/>
      <c r="H116" s="75"/>
    </row>
    <row r="117" spans="1:8" s="58" customFormat="1" ht="18" hidden="1" customHeight="1" x14ac:dyDescent="0.2">
      <c r="A117" s="77" t="s">
        <v>338</v>
      </c>
      <c r="B117" s="78" t="s">
        <v>324</v>
      </c>
      <c r="C117" s="78" t="s">
        <v>339</v>
      </c>
      <c r="D117" s="80">
        <f>SUM(D118:D132)</f>
        <v>0</v>
      </c>
      <c r="E117" s="80">
        <f t="shared" ref="E117:F117" si="18">SUM(E118:E132)</f>
        <v>0</v>
      </c>
      <c r="F117" s="80">
        <f t="shared" si="18"/>
        <v>0</v>
      </c>
      <c r="G117" s="81"/>
      <c r="H117" s="81"/>
    </row>
    <row r="118" spans="1:8" ht="30" hidden="1" x14ac:dyDescent="0.25">
      <c r="A118" s="71" t="s">
        <v>340</v>
      </c>
      <c r="B118" s="72" t="s">
        <v>324</v>
      </c>
      <c r="C118" s="72" t="s">
        <v>339</v>
      </c>
      <c r="D118" s="73"/>
      <c r="E118" s="73"/>
      <c r="F118" s="73"/>
      <c r="G118" s="74"/>
      <c r="H118" s="74"/>
    </row>
    <row r="119" spans="1:8" s="84" customFormat="1" ht="15" hidden="1" customHeight="1" x14ac:dyDescent="0.25">
      <c r="A119" s="71" t="s">
        <v>342</v>
      </c>
      <c r="B119" s="72" t="s">
        <v>324</v>
      </c>
      <c r="C119" s="72" t="s">
        <v>339</v>
      </c>
      <c r="D119" s="73"/>
      <c r="E119" s="73"/>
      <c r="F119" s="73"/>
      <c r="H119" s="85"/>
    </row>
    <row r="120" spans="1:8" ht="30" hidden="1" x14ac:dyDescent="0.25">
      <c r="A120" s="71" t="s">
        <v>344</v>
      </c>
      <c r="B120" s="72" t="s">
        <v>324</v>
      </c>
      <c r="C120" s="72" t="s">
        <v>339</v>
      </c>
      <c r="D120" s="73"/>
      <c r="E120" s="73"/>
      <c r="F120" s="73"/>
      <c r="G120" s="74"/>
      <c r="H120" s="74"/>
    </row>
    <row r="121" spans="1:8" ht="15" hidden="1" customHeight="1" x14ac:dyDescent="0.25">
      <c r="A121" s="71" t="s">
        <v>346</v>
      </c>
      <c r="B121" s="72" t="s">
        <v>324</v>
      </c>
      <c r="C121" s="72" t="s">
        <v>339</v>
      </c>
      <c r="D121" s="73"/>
      <c r="E121" s="73"/>
      <c r="F121" s="73"/>
      <c r="G121" s="74"/>
      <c r="H121" s="74"/>
    </row>
    <row r="122" spans="1:8" ht="16.5" hidden="1" customHeight="1" x14ac:dyDescent="0.25">
      <c r="A122" s="71" t="s">
        <v>347</v>
      </c>
      <c r="B122" s="72" t="s">
        <v>324</v>
      </c>
      <c r="C122" s="72" t="s">
        <v>339</v>
      </c>
      <c r="D122" s="73"/>
      <c r="E122" s="73"/>
      <c r="F122" s="73"/>
      <c r="H122" s="74"/>
    </row>
    <row r="123" spans="1:8" ht="14.25" hidden="1" customHeight="1" x14ac:dyDescent="0.25">
      <c r="A123" s="71" t="s">
        <v>348</v>
      </c>
      <c r="B123" s="72" t="s">
        <v>324</v>
      </c>
      <c r="C123" s="72" t="s">
        <v>339</v>
      </c>
      <c r="D123" s="73"/>
      <c r="E123" s="73"/>
      <c r="F123" s="73"/>
      <c r="H123" s="74"/>
    </row>
    <row r="124" spans="1:8" ht="14.25" hidden="1" customHeight="1" x14ac:dyDescent="0.25">
      <c r="A124" s="71" t="s">
        <v>349</v>
      </c>
      <c r="B124" s="72" t="s">
        <v>324</v>
      </c>
      <c r="C124" s="72" t="s">
        <v>339</v>
      </c>
      <c r="D124" s="73"/>
      <c r="E124" s="73"/>
      <c r="F124" s="73"/>
      <c r="H124" s="74"/>
    </row>
    <row r="125" spans="1:8" ht="14.25" hidden="1" customHeight="1" x14ac:dyDescent="0.25">
      <c r="A125" s="71" t="s">
        <v>350</v>
      </c>
      <c r="B125" s="72" t="s">
        <v>324</v>
      </c>
      <c r="C125" s="72" t="s">
        <v>339</v>
      </c>
      <c r="D125" s="73"/>
      <c r="E125" s="73"/>
      <c r="F125" s="73"/>
      <c r="H125" s="74"/>
    </row>
    <row r="126" spans="1:8" ht="14.25" hidden="1" customHeight="1" x14ac:dyDescent="0.25">
      <c r="A126" s="71" t="s">
        <v>351</v>
      </c>
      <c r="B126" s="72" t="s">
        <v>324</v>
      </c>
      <c r="C126" s="72" t="s">
        <v>339</v>
      </c>
      <c r="D126" s="73"/>
      <c r="E126" s="73"/>
      <c r="F126" s="73"/>
      <c r="H126" s="74"/>
    </row>
    <row r="127" spans="1:8" ht="14.25" hidden="1" customHeight="1" x14ac:dyDescent="0.25">
      <c r="A127" s="71" t="s">
        <v>352</v>
      </c>
      <c r="B127" s="72" t="s">
        <v>324</v>
      </c>
      <c r="C127" s="72" t="s">
        <v>339</v>
      </c>
      <c r="D127" s="73"/>
      <c r="E127" s="73"/>
      <c r="F127" s="73"/>
      <c r="H127" s="74"/>
    </row>
    <row r="128" spans="1:8" ht="14.25" hidden="1" customHeight="1" x14ac:dyDescent="0.25">
      <c r="A128" s="71" t="s">
        <v>353</v>
      </c>
      <c r="B128" s="72" t="s">
        <v>324</v>
      </c>
      <c r="C128" s="72" t="s">
        <v>339</v>
      </c>
      <c r="D128" s="73"/>
      <c r="E128" s="73"/>
      <c r="F128" s="73"/>
      <c r="H128" s="74"/>
    </row>
    <row r="129" spans="1:8" ht="14.25" hidden="1" customHeight="1" x14ac:dyDescent="0.25">
      <c r="A129" s="71" t="s">
        <v>354</v>
      </c>
      <c r="B129" s="72" t="s">
        <v>324</v>
      </c>
      <c r="C129" s="72" t="s">
        <v>339</v>
      </c>
      <c r="D129" s="73"/>
      <c r="E129" s="73"/>
      <c r="F129" s="73"/>
      <c r="H129" s="74"/>
    </row>
    <row r="130" spans="1:8" ht="14.25" hidden="1" customHeight="1" x14ac:dyDescent="0.25">
      <c r="A130" s="71" t="s">
        <v>355</v>
      </c>
      <c r="B130" s="72" t="s">
        <v>324</v>
      </c>
      <c r="C130" s="72" t="s">
        <v>339</v>
      </c>
      <c r="D130" s="73"/>
      <c r="E130" s="73"/>
      <c r="F130" s="73"/>
      <c r="H130" s="74"/>
    </row>
    <row r="131" spans="1:8" ht="14.25" hidden="1" customHeight="1" x14ac:dyDescent="0.25">
      <c r="A131" s="71" t="s">
        <v>356</v>
      </c>
      <c r="B131" s="72" t="s">
        <v>324</v>
      </c>
      <c r="C131" s="72" t="s">
        <v>339</v>
      </c>
      <c r="D131" s="73"/>
      <c r="E131" s="73"/>
      <c r="F131" s="73"/>
      <c r="H131" s="74"/>
    </row>
    <row r="132" spans="1:8" ht="14.25" hidden="1" customHeight="1" x14ac:dyDescent="0.25">
      <c r="A132" s="71" t="s">
        <v>357</v>
      </c>
      <c r="B132" s="72" t="s">
        <v>324</v>
      </c>
      <c r="C132" s="72" t="s">
        <v>339</v>
      </c>
      <c r="D132" s="73"/>
      <c r="E132" s="73"/>
      <c r="F132" s="73"/>
      <c r="H132" s="74"/>
    </row>
    <row r="133" spans="1:8" s="58" customFormat="1" ht="18" hidden="1" customHeight="1" x14ac:dyDescent="0.2">
      <c r="A133" s="77" t="s">
        <v>359</v>
      </c>
      <c r="B133" s="78" t="s">
        <v>324</v>
      </c>
      <c r="C133" s="78" t="s">
        <v>317</v>
      </c>
      <c r="D133" s="80">
        <f>SUM(D134:D143)</f>
        <v>0</v>
      </c>
      <c r="E133" s="80">
        <f t="shared" ref="E133:F133" si="19">SUM(E134:E143)</f>
        <v>0</v>
      </c>
      <c r="F133" s="80">
        <f t="shared" si="19"/>
        <v>0</v>
      </c>
      <c r="G133" s="81"/>
      <c r="H133" s="81"/>
    </row>
    <row r="134" spans="1:8" s="76" customFormat="1" hidden="1" x14ac:dyDescent="0.25">
      <c r="A134" s="71" t="s">
        <v>360</v>
      </c>
      <c r="B134" s="72" t="s">
        <v>324</v>
      </c>
      <c r="C134" s="72" t="s">
        <v>317</v>
      </c>
      <c r="D134" s="73"/>
      <c r="E134" s="73"/>
      <c r="F134" s="73"/>
      <c r="G134" s="63"/>
      <c r="H134" s="74"/>
    </row>
    <row r="135" spans="1:8" ht="14.25" hidden="1" customHeight="1" x14ac:dyDescent="0.25">
      <c r="A135" s="71" t="s">
        <v>362</v>
      </c>
      <c r="B135" s="72" t="s">
        <v>324</v>
      </c>
      <c r="C135" s="72" t="s">
        <v>317</v>
      </c>
      <c r="D135" s="73"/>
      <c r="E135" s="73"/>
      <c r="F135" s="73"/>
      <c r="H135" s="74"/>
    </row>
    <row r="136" spans="1:8" ht="14.25" hidden="1" customHeight="1" x14ac:dyDescent="0.25">
      <c r="A136" s="71" t="s">
        <v>363</v>
      </c>
      <c r="B136" s="72" t="s">
        <v>324</v>
      </c>
      <c r="C136" s="72" t="s">
        <v>317</v>
      </c>
      <c r="D136" s="73"/>
      <c r="E136" s="73"/>
      <c r="F136" s="73"/>
      <c r="H136" s="74"/>
    </row>
    <row r="137" spans="1:8" ht="14.25" hidden="1" customHeight="1" x14ac:dyDescent="0.25">
      <c r="A137" s="71" t="s">
        <v>364</v>
      </c>
      <c r="B137" s="72" t="s">
        <v>324</v>
      </c>
      <c r="C137" s="72" t="s">
        <v>317</v>
      </c>
      <c r="D137" s="73"/>
      <c r="E137" s="73"/>
      <c r="F137" s="73"/>
      <c r="H137" s="74"/>
    </row>
    <row r="138" spans="1:8" ht="14.25" hidden="1" customHeight="1" x14ac:dyDescent="0.25">
      <c r="A138" s="71" t="s">
        <v>365</v>
      </c>
      <c r="B138" s="72" t="s">
        <v>324</v>
      </c>
      <c r="C138" s="72" t="s">
        <v>317</v>
      </c>
      <c r="D138" s="73"/>
      <c r="E138" s="73"/>
      <c r="F138" s="73"/>
      <c r="H138" s="74"/>
    </row>
    <row r="139" spans="1:8" ht="14.25" hidden="1" customHeight="1" x14ac:dyDescent="0.25">
      <c r="A139" s="71" t="s">
        <v>366</v>
      </c>
      <c r="B139" s="72" t="s">
        <v>324</v>
      </c>
      <c r="C139" s="72" t="s">
        <v>317</v>
      </c>
      <c r="D139" s="73"/>
      <c r="E139" s="73"/>
      <c r="F139" s="73"/>
      <c r="H139" s="74"/>
    </row>
    <row r="140" spans="1:8" ht="14.25" hidden="1" customHeight="1" x14ac:dyDescent="0.25">
      <c r="A140" s="71" t="s">
        <v>367</v>
      </c>
      <c r="B140" s="72" t="s">
        <v>324</v>
      </c>
      <c r="C140" s="72" t="s">
        <v>317</v>
      </c>
      <c r="D140" s="73"/>
      <c r="E140" s="73"/>
      <c r="F140" s="73"/>
      <c r="H140" s="74"/>
    </row>
    <row r="141" spans="1:8" ht="14.25" hidden="1" customHeight="1" x14ac:dyDescent="0.25">
      <c r="A141" s="71" t="s">
        <v>368</v>
      </c>
      <c r="B141" s="72" t="s">
        <v>324</v>
      </c>
      <c r="C141" s="72" t="s">
        <v>317</v>
      </c>
      <c r="D141" s="73"/>
      <c r="E141" s="73"/>
      <c r="F141" s="73"/>
      <c r="H141" s="74"/>
    </row>
    <row r="142" spans="1:8" ht="14.25" hidden="1" customHeight="1" x14ac:dyDescent="0.25">
      <c r="A142" s="71" t="s">
        <v>369</v>
      </c>
      <c r="B142" s="72" t="s">
        <v>324</v>
      </c>
      <c r="C142" s="72" t="s">
        <v>317</v>
      </c>
      <c r="D142" s="73"/>
      <c r="E142" s="73"/>
      <c r="F142" s="73"/>
      <c r="H142" s="74"/>
    </row>
    <row r="143" spans="1:8" ht="14.25" hidden="1" customHeight="1" x14ac:dyDescent="0.25">
      <c r="A143" s="71" t="s">
        <v>370</v>
      </c>
      <c r="B143" s="72" t="s">
        <v>324</v>
      </c>
      <c r="C143" s="72" t="s">
        <v>317</v>
      </c>
      <c r="D143" s="73"/>
      <c r="E143" s="73"/>
      <c r="F143" s="73"/>
      <c r="H143" s="74"/>
    </row>
    <row r="144" spans="1:8" hidden="1" x14ac:dyDescent="0.25">
      <c r="A144" s="77" t="s">
        <v>371</v>
      </c>
      <c r="B144" s="78" t="s">
        <v>372</v>
      </c>
      <c r="C144" s="78" t="s">
        <v>373</v>
      </c>
      <c r="D144" s="79"/>
      <c r="E144" s="79"/>
      <c r="F144" s="79"/>
      <c r="H144" s="74"/>
    </row>
    <row r="145" spans="1:8" s="76" customFormat="1" hidden="1" x14ac:dyDescent="0.25">
      <c r="A145" s="71" t="s">
        <v>374</v>
      </c>
      <c r="B145" s="72" t="s">
        <v>376</v>
      </c>
      <c r="C145" s="72" t="s">
        <v>377</v>
      </c>
      <c r="D145" s="73"/>
      <c r="E145" s="73"/>
      <c r="F145" s="73"/>
      <c r="G145" s="75"/>
      <c r="H145" s="75"/>
    </row>
    <row r="146" spans="1:8" s="76" customFormat="1" hidden="1" x14ac:dyDescent="0.25">
      <c r="A146" s="71" t="s">
        <v>378</v>
      </c>
      <c r="B146" s="72" t="s">
        <v>379</v>
      </c>
      <c r="C146" s="72" t="s">
        <v>380</v>
      </c>
      <c r="D146" s="73"/>
      <c r="E146" s="73"/>
      <c r="F146" s="73"/>
      <c r="H146" s="75"/>
    </row>
    <row r="147" spans="1:8" ht="15" hidden="1" customHeight="1" x14ac:dyDescent="0.25">
      <c r="A147" s="71" t="s">
        <v>381</v>
      </c>
      <c r="B147" s="72" t="s">
        <v>383</v>
      </c>
      <c r="C147" s="72" t="s">
        <v>377</v>
      </c>
      <c r="D147" s="73"/>
      <c r="E147" s="73"/>
      <c r="F147" s="73"/>
      <c r="G147" s="74"/>
      <c r="H147" s="74"/>
    </row>
    <row r="148" spans="1:8" hidden="1" x14ac:dyDescent="0.25">
      <c r="A148" s="71" t="s">
        <v>384</v>
      </c>
      <c r="B148" s="72" t="s">
        <v>383</v>
      </c>
      <c r="C148" s="72" t="s">
        <v>377</v>
      </c>
      <c r="D148" s="73"/>
      <c r="E148" s="73"/>
      <c r="F148" s="73"/>
      <c r="G148" s="74"/>
      <c r="H148" s="74"/>
    </row>
    <row r="149" spans="1:8" s="76" customFormat="1" hidden="1" x14ac:dyDescent="0.25">
      <c r="A149" s="82" t="s">
        <v>385</v>
      </c>
      <c r="B149" s="83" t="s">
        <v>324</v>
      </c>
      <c r="C149" s="72" t="s">
        <v>386</v>
      </c>
      <c r="D149" s="73"/>
      <c r="E149" s="73"/>
      <c r="F149" s="73"/>
      <c r="G149" s="75"/>
      <c r="H149" s="75"/>
    </row>
    <row r="150" spans="1:8" s="58" customFormat="1" ht="28.5" hidden="1" x14ac:dyDescent="0.2">
      <c r="A150" s="77" t="s">
        <v>387</v>
      </c>
      <c r="B150" s="78" t="s">
        <v>324</v>
      </c>
      <c r="C150" s="78" t="s">
        <v>388</v>
      </c>
      <c r="D150" s="80">
        <f>SUM(D151:D154)</f>
        <v>0</v>
      </c>
      <c r="E150" s="80">
        <f t="shared" ref="E150:F150" si="20">SUM(E151:E154)</f>
        <v>0</v>
      </c>
      <c r="F150" s="80">
        <f t="shared" si="20"/>
        <v>0</v>
      </c>
      <c r="G150" s="81"/>
      <c r="H150" s="81"/>
    </row>
    <row r="151" spans="1:8" s="76" customFormat="1" ht="15" hidden="1" customHeight="1" x14ac:dyDescent="0.25">
      <c r="A151" s="82" t="s">
        <v>389</v>
      </c>
      <c r="B151" s="83" t="s">
        <v>324</v>
      </c>
      <c r="C151" s="72" t="s">
        <v>390</v>
      </c>
      <c r="D151" s="73"/>
      <c r="E151" s="73"/>
      <c r="F151" s="73"/>
      <c r="G151" s="75"/>
      <c r="H151" s="75"/>
    </row>
    <row r="152" spans="1:8" s="76" customFormat="1" ht="15" hidden="1" customHeight="1" x14ac:dyDescent="0.25">
      <c r="A152" s="82" t="s">
        <v>391</v>
      </c>
      <c r="B152" s="83" t="s">
        <v>324</v>
      </c>
      <c r="C152" s="72" t="s">
        <v>392</v>
      </c>
      <c r="D152" s="73"/>
      <c r="E152" s="73"/>
      <c r="F152" s="73"/>
      <c r="G152" s="75"/>
      <c r="H152" s="75"/>
    </row>
    <row r="153" spans="1:8" s="76" customFormat="1" ht="15" hidden="1" customHeight="1" x14ac:dyDescent="0.25">
      <c r="A153" s="82" t="s">
        <v>393</v>
      </c>
      <c r="B153" s="83" t="s">
        <v>324</v>
      </c>
      <c r="C153" s="72" t="s">
        <v>392</v>
      </c>
      <c r="D153" s="73"/>
      <c r="E153" s="73"/>
      <c r="F153" s="73"/>
      <c r="G153" s="75"/>
      <c r="H153" s="75"/>
    </row>
    <row r="154" spans="1:8" s="76" customFormat="1" ht="15" hidden="1" customHeight="1" x14ac:dyDescent="0.25">
      <c r="A154" s="82" t="s">
        <v>394</v>
      </c>
      <c r="B154" s="83" t="s">
        <v>324</v>
      </c>
      <c r="C154" s="72" t="s">
        <v>392</v>
      </c>
      <c r="D154" s="73"/>
      <c r="E154" s="73"/>
      <c r="F154" s="73"/>
      <c r="G154" s="75"/>
      <c r="H154" s="75"/>
    </row>
    <row r="155" spans="1:8" s="58" customFormat="1" ht="14.25" x14ac:dyDescent="0.2">
      <c r="A155" s="116" t="s">
        <v>414</v>
      </c>
      <c r="B155" s="116"/>
      <c r="C155" s="116"/>
      <c r="D155" s="297">
        <f>SUM(D156,D157,D158,D159,D160,D161,D162,D169,D167,D185,D196,D197,D198,D199,D200,D201,D202,D166,D168)</f>
        <v>180070.78999999998</v>
      </c>
      <c r="E155" s="297">
        <f t="shared" ref="E155:F155" si="21">SUM(E156,E157,E158,E159,E160,E161,E162,E169,E167,E185,E196,E197,E198,E199,E200,E201,E202,E166,E168)</f>
        <v>0</v>
      </c>
      <c r="F155" s="297">
        <f t="shared" si="21"/>
        <v>0</v>
      </c>
      <c r="G155" s="147">
        <f>(176889.11+3214.68)-D155</f>
        <v>33</v>
      </c>
    </row>
    <row r="156" spans="1:8" x14ac:dyDescent="0.25">
      <c r="A156" s="71" t="s">
        <v>306</v>
      </c>
      <c r="B156" s="72" t="s">
        <v>308</v>
      </c>
      <c r="C156" s="72" t="s">
        <v>309</v>
      </c>
      <c r="D156" s="73">
        <f>68433-D157</f>
        <v>68333</v>
      </c>
      <c r="E156" s="73"/>
      <c r="F156" s="73"/>
      <c r="G156" s="74"/>
    </row>
    <row r="157" spans="1:8" x14ac:dyDescent="0.25">
      <c r="A157" s="71" t="s">
        <v>310</v>
      </c>
      <c r="B157" s="72" t="s">
        <v>308</v>
      </c>
      <c r="C157" s="72" t="s">
        <v>311</v>
      </c>
      <c r="D157" s="73">
        <v>100</v>
      </c>
      <c r="E157" s="73"/>
      <c r="F157" s="73"/>
      <c r="G157" s="74"/>
    </row>
    <row r="158" spans="1:8" s="76" customFormat="1" x14ac:dyDescent="0.25">
      <c r="A158" s="71" t="s">
        <v>312</v>
      </c>
      <c r="B158" s="72" t="s">
        <v>315</v>
      </c>
      <c r="C158" s="72" t="s">
        <v>311</v>
      </c>
      <c r="D158" s="73"/>
      <c r="E158" s="73"/>
      <c r="F158" s="73"/>
      <c r="G158" s="75"/>
      <c r="H158" s="75"/>
    </row>
    <row r="159" spans="1:8" s="76" customFormat="1" x14ac:dyDescent="0.25">
      <c r="A159" s="71" t="s">
        <v>316</v>
      </c>
      <c r="B159" s="72" t="s">
        <v>315</v>
      </c>
      <c r="C159" s="72" t="s">
        <v>317</v>
      </c>
      <c r="D159" s="73"/>
      <c r="E159" s="73"/>
      <c r="F159" s="73"/>
      <c r="G159" s="75"/>
      <c r="H159" s="75"/>
    </row>
    <row r="160" spans="1:8" s="76" customFormat="1" hidden="1" x14ac:dyDescent="0.25">
      <c r="A160" s="71" t="s">
        <v>318</v>
      </c>
      <c r="B160" s="72" t="s">
        <v>315</v>
      </c>
      <c r="C160" s="72" t="s">
        <v>311</v>
      </c>
      <c r="D160" s="73"/>
      <c r="E160" s="73"/>
      <c r="F160" s="73"/>
      <c r="G160" s="75"/>
      <c r="H160" s="75"/>
    </row>
    <row r="161" spans="1:8" x14ac:dyDescent="0.25">
      <c r="A161" s="71" t="s">
        <v>319</v>
      </c>
      <c r="B161" s="72" t="s">
        <v>321</v>
      </c>
      <c r="C161" s="72" t="s">
        <v>322</v>
      </c>
      <c r="D161" s="73">
        <v>20667</v>
      </c>
      <c r="E161" s="73"/>
      <c r="F161" s="73"/>
      <c r="G161" s="74"/>
    </row>
    <row r="162" spans="1:8" s="58" customFormat="1" ht="14.25" x14ac:dyDescent="0.2">
      <c r="A162" s="77" t="s">
        <v>323</v>
      </c>
      <c r="B162" s="78" t="s">
        <v>324</v>
      </c>
      <c r="C162" s="78" t="s">
        <v>325</v>
      </c>
      <c r="D162" s="79">
        <f>SUM(D163:D164)</f>
        <v>44845.369999999995</v>
      </c>
      <c r="E162" s="79">
        <f t="shared" ref="E162:F162" si="22">SUM(E163:E164)</f>
        <v>0</v>
      </c>
      <c r="F162" s="79">
        <f t="shared" si="22"/>
        <v>0</v>
      </c>
      <c r="G162" s="81"/>
    </row>
    <row r="163" spans="1:8" ht="30" x14ac:dyDescent="0.25">
      <c r="A163" s="71" t="s">
        <v>326</v>
      </c>
      <c r="B163" s="72" t="s">
        <v>324</v>
      </c>
      <c r="C163" s="72" t="s">
        <v>325</v>
      </c>
      <c r="D163" s="73">
        <f>3378+3181.68+7425+3740.66</f>
        <v>17725.34</v>
      </c>
      <c r="E163" s="73"/>
      <c r="F163" s="73"/>
      <c r="G163" s="74"/>
      <c r="H163" s="74"/>
    </row>
    <row r="164" spans="1:8" s="76" customFormat="1" x14ac:dyDescent="0.25">
      <c r="A164" s="71" t="s">
        <v>328</v>
      </c>
      <c r="B164" s="72" t="s">
        <v>324</v>
      </c>
      <c r="C164" s="72" t="s">
        <v>325</v>
      </c>
      <c r="D164" s="73">
        <f>11520.03+15600</f>
        <v>27120.03</v>
      </c>
      <c r="E164" s="73"/>
      <c r="F164" s="73"/>
      <c r="G164" s="75"/>
      <c r="H164" s="75"/>
    </row>
    <row r="165" spans="1:8" s="76" customFormat="1" x14ac:dyDescent="0.25">
      <c r="A165" s="77" t="s">
        <v>329</v>
      </c>
      <c r="B165" s="78" t="s">
        <v>324</v>
      </c>
      <c r="C165" s="78" t="s">
        <v>330</v>
      </c>
      <c r="D165" s="73"/>
      <c r="E165" s="73"/>
      <c r="F165" s="73"/>
      <c r="H165" s="75"/>
    </row>
    <row r="166" spans="1:8" x14ac:dyDescent="0.25">
      <c r="A166" s="71" t="s">
        <v>741</v>
      </c>
      <c r="B166" s="72" t="s">
        <v>324</v>
      </c>
      <c r="C166" s="72" t="s">
        <v>333</v>
      </c>
      <c r="D166" s="73">
        <f>2079+440</f>
        <v>2519</v>
      </c>
      <c r="E166" s="73"/>
      <c r="F166" s="73"/>
      <c r="G166" s="74"/>
      <c r="H166" s="74"/>
    </row>
    <row r="167" spans="1:8" x14ac:dyDescent="0.25">
      <c r="A167" s="71" t="s">
        <v>742</v>
      </c>
      <c r="B167" s="83" t="s">
        <v>667</v>
      </c>
      <c r="C167" s="72" t="s">
        <v>333</v>
      </c>
      <c r="D167" s="73">
        <f>9652+3118+3260</f>
        <v>16030</v>
      </c>
      <c r="E167" s="73"/>
      <c r="F167" s="73"/>
      <c r="G167" s="76"/>
      <c r="H167" s="75"/>
    </row>
    <row r="168" spans="1:8" s="76" customFormat="1" x14ac:dyDescent="0.25">
      <c r="A168" s="82" t="s">
        <v>336</v>
      </c>
      <c r="B168" s="83" t="s">
        <v>324</v>
      </c>
      <c r="C168" s="72" t="s">
        <v>337</v>
      </c>
      <c r="D168" s="73"/>
      <c r="E168" s="73"/>
      <c r="F168" s="73"/>
      <c r="G168" s="75"/>
      <c r="H168" s="75"/>
    </row>
    <row r="169" spans="1:8" s="58" customFormat="1" ht="18" customHeight="1" x14ac:dyDescent="0.2">
      <c r="A169" s="77" t="s">
        <v>338</v>
      </c>
      <c r="B169" s="78" t="s">
        <v>324</v>
      </c>
      <c r="C169" s="78" t="s">
        <v>339</v>
      </c>
      <c r="D169" s="80">
        <f>SUM(D170:D184)</f>
        <v>0</v>
      </c>
      <c r="E169" s="80">
        <f t="shared" ref="E169:F169" si="23">SUM(E170:E184)</f>
        <v>0</v>
      </c>
      <c r="F169" s="80">
        <f t="shared" si="23"/>
        <v>0</v>
      </c>
      <c r="G169" s="81"/>
      <c r="H169" s="81"/>
    </row>
    <row r="170" spans="1:8" ht="30" x14ac:dyDescent="0.25">
      <c r="A170" s="71" t="s">
        <v>340</v>
      </c>
      <c r="B170" s="72" t="s">
        <v>324</v>
      </c>
      <c r="C170" s="72" t="s">
        <v>339</v>
      </c>
      <c r="D170" s="73"/>
      <c r="E170" s="73"/>
      <c r="F170" s="73"/>
      <c r="G170" s="74"/>
      <c r="H170" s="74"/>
    </row>
    <row r="171" spans="1:8" s="84" customFormat="1" ht="15" customHeight="1" x14ac:dyDescent="0.25">
      <c r="A171" s="71" t="s">
        <v>342</v>
      </c>
      <c r="B171" s="72" t="s">
        <v>324</v>
      </c>
      <c r="C171" s="72" t="s">
        <v>339</v>
      </c>
      <c r="D171" s="73"/>
      <c r="E171" s="73"/>
      <c r="F171" s="73"/>
      <c r="H171" s="85"/>
    </row>
    <row r="172" spans="1:8" ht="30" x14ac:dyDescent="0.25">
      <c r="A172" s="71" t="s">
        <v>344</v>
      </c>
      <c r="B172" s="72" t="s">
        <v>324</v>
      </c>
      <c r="C172" s="72" t="s">
        <v>339</v>
      </c>
      <c r="D172" s="73"/>
      <c r="E172" s="73"/>
      <c r="F172" s="73"/>
      <c r="G172" s="74"/>
      <c r="H172" s="74"/>
    </row>
    <row r="173" spans="1:8" ht="15" customHeight="1" x14ac:dyDescent="0.25">
      <c r="A173" s="71" t="s">
        <v>346</v>
      </c>
      <c r="B173" s="72" t="s">
        <v>324</v>
      </c>
      <c r="C173" s="72" t="s">
        <v>339</v>
      </c>
      <c r="D173" s="73"/>
      <c r="E173" s="73"/>
      <c r="F173" s="73"/>
      <c r="G173" s="74"/>
      <c r="H173" s="74"/>
    </row>
    <row r="174" spans="1:8" ht="30" x14ac:dyDescent="0.25">
      <c r="A174" s="71" t="s">
        <v>347</v>
      </c>
      <c r="B174" s="72" t="s">
        <v>324</v>
      </c>
      <c r="C174" s="72" t="s">
        <v>339</v>
      </c>
      <c r="D174" s="73"/>
      <c r="E174" s="73"/>
      <c r="F174" s="73"/>
      <c r="H174" s="74"/>
    </row>
    <row r="175" spans="1:8" ht="14.25" customHeight="1" x14ac:dyDescent="0.25">
      <c r="A175" s="71" t="s">
        <v>348</v>
      </c>
      <c r="B175" s="72" t="s">
        <v>324</v>
      </c>
      <c r="C175" s="72" t="s">
        <v>339</v>
      </c>
      <c r="D175" s="73"/>
      <c r="E175" s="73"/>
      <c r="F175" s="73"/>
      <c r="H175" s="74"/>
    </row>
    <row r="176" spans="1:8" ht="14.25" customHeight="1" x14ac:dyDescent="0.25">
      <c r="A176" s="71" t="s">
        <v>349</v>
      </c>
      <c r="B176" s="72" t="s">
        <v>324</v>
      </c>
      <c r="C176" s="72" t="s">
        <v>339</v>
      </c>
      <c r="D176" s="73"/>
      <c r="E176" s="73"/>
      <c r="F176" s="73"/>
      <c r="H176" s="74"/>
    </row>
    <row r="177" spans="1:8" ht="14.25" customHeight="1" x14ac:dyDescent="0.25">
      <c r="A177" s="71" t="s">
        <v>350</v>
      </c>
      <c r="B177" s="72" t="s">
        <v>324</v>
      </c>
      <c r="C177" s="72" t="s">
        <v>339</v>
      </c>
      <c r="D177" s="73"/>
      <c r="E177" s="73"/>
      <c r="F177" s="73"/>
      <c r="H177" s="74"/>
    </row>
    <row r="178" spans="1:8" ht="14.25" customHeight="1" x14ac:dyDescent="0.25">
      <c r="A178" s="71" t="s">
        <v>351</v>
      </c>
      <c r="B178" s="72" t="s">
        <v>324</v>
      </c>
      <c r="C178" s="72" t="s">
        <v>339</v>
      </c>
      <c r="D178" s="73"/>
      <c r="E178" s="73"/>
      <c r="F178" s="73"/>
      <c r="H178" s="74"/>
    </row>
    <row r="179" spans="1:8" ht="14.25" customHeight="1" x14ac:dyDescent="0.25">
      <c r="A179" s="71" t="s">
        <v>352</v>
      </c>
      <c r="B179" s="72" t="s">
        <v>324</v>
      </c>
      <c r="C179" s="72" t="s">
        <v>339</v>
      </c>
      <c r="D179" s="73"/>
      <c r="E179" s="73"/>
      <c r="F179" s="73"/>
      <c r="H179" s="74"/>
    </row>
    <row r="180" spans="1:8" ht="14.25" customHeight="1" x14ac:dyDescent="0.25">
      <c r="A180" s="71" t="s">
        <v>353</v>
      </c>
      <c r="B180" s="72" t="s">
        <v>324</v>
      </c>
      <c r="C180" s="72" t="s">
        <v>339</v>
      </c>
      <c r="D180" s="73"/>
      <c r="E180" s="73"/>
      <c r="F180" s="73"/>
      <c r="H180" s="74"/>
    </row>
    <row r="181" spans="1:8" ht="14.25" customHeight="1" x14ac:dyDescent="0.25">
      <c r="A181" s="71" t="s">
        <v>354</v>
      </c>
      <c r="B181" s="72" t="s">
        <v>324</v>
      </c>
      <c r="C181" s="72" t="s">
        <v>339</v>
      </c>
      <c r="D181" s="73"/>
      <c r="E181" s="73"/>
      <c r="F181" s="73"/>
      <c r="H181" s="74"/>
    </row>
    <row r="182" spans="1:8" ht="14.25" customHeight="1" x14ac:dyDescent="0.25">
      <c r="A182" s="71" t="s">
        <v>355</v>
      </c>
      <c r="B182" s="72" t="s">
        <v>324</v>
      </c>
      <c r="C182" s="72" t="s">
        <v>339</v>
      </c>
      <c r="D182" s="73"/>
      <c r="E182" s="73"/>
      <c r="F182" s="73"/>
      <c r="H182" s="74"/>
    </row>
    <row r="183" spans="1:8" ht="14.25" customHeight="1" x14ac:dyDescent="0.25">
      <c r="A183" s="71" t="s">
        <v>356</v>
      </c>
      <c r="B183" s="72" t="s">
        <v>324</v>
      </c>
      <c r="C183" s="72" t="s">
        <v>339</v>
      </c>
      <c r="D183" s="73"/>
      <c r="E183" s="73"/>
      <c r="F183" s="73"/>
      <c r="H183" s="74"/>
    </row>
    <row r="184" spans="1:8" ht="14.25" customHeight="1" x14ac:dyDescent="0.25">
      <c r="A184" s="71" t="s">
        <v>357</v>
      </c>
      <c r="B184" s="72" t="s">
        <v>324</v>
      </c>
      <c r="C184" s="72" t="s">
        <v>339</v>
      </c>
      <c r="D184" s="73"/>
      <c r="E184" s="73"/>
      <c r="F184" s="73"/>
      <c r="H184" s="74"/>
    </row>
    <row r="185" spans="1:8" s="58" customFormat="1" ht="18" customHeight="1" x14ac:dyDescent="0.2">
      <c r="A185" s="77" t="s">
        <v>359</v>
      </c>
      <c r="B185" s="78" t="s">
        <v>324</v>
      </c>
      <c r="C185" s="78" t="s">
        <v>317</v>
      </c>
      <c r="D185" s="80">
        <f>SUM(D186:D195)</f>
        <v>27576.42</v>
      </c>
      <c r="E185" s="80">
        <f t="shared" ref="E185:F185" si="24">SUM(E186:E195)</f>
        <v>0</v>
      </c>
      <c r="F185" s="80">
        <f t="shared" si="24"/>
        <v>0</v>
      </c>
      <c r="G185" s="81"/>
      <c r="H185" s="81"/>
    </row>
    <row r="186" spans="1:8" s="76" customFormat="1" x14ac:dyDescent="0.25">
      <c r="A186" s="71" t="s">
        <v>360</v>
      </c>
      <c r="B186" s="72" t="s">
        <v>324</v>
      </c>
      <c r="C186" s="72" t="s">
        <v>317</v>
      </c>
      <c r="D186" s="73">
        <v>5095.42</v>
      </c>
      <c r="E186" s="73"/>
      <c r="F186" s="73"/>
      <c r="G186" s="63"/>
      <c r="H186" s="74"/>
    </row>
    <row r="187" spans="1:8" ht="14.25" customHeight="1" x14ac:dyDescent="0.25">
      <c r="A187" s="71" t="s">
        <v>362</v>
      </c>
      <c r="B187" s="72" t="s">
        <v>324</v>
      </c>
      <c r="C187" s="72" t="s">
        <v>317</v>
      </c>
      <c r="D187" s="73"/>
      <c r="E187" s="73"/>
      <c r="F187" s="73"/>
      <c r="H187" s="74"/>
    </row>
    <row r="188" spans="1:8" ht="14.25" customHeight="1" x14ac:dyDescent="0.25">
      <c r="A188" s="71" t="s">
        <v>363</v>
      </c>
      <c r="B188" s="72" t="s">
        <v>324</v>
      </c>
      <c r="C188" s="72" t="s">
        <v>317</v>
      </c>
      <c r="D188" s="73"/>
      <c r="E188" s="73"/>
      <c r="F188" s="73"/>
      <c r="H188" s="74"/>
    </row>
    <row r="189" spans="1:8" ht="14.25" customHeight="1" x14ac:dyDescent="0.25">
      <c r="A189" s="71" t="s">
        <v>478</v>
      </c>
      <c r="B189" s="72" t="s">
        <v>324</v>
      </c>
      <c r="C189" s="72" t="s">
        <v>317</v>
      </c>
      <c r="D189" s="73"/>
      <c r="E189" s="73"/>
      <c r="F189" s="73"/>
      <c r="H189" s="74"/>
    </row>
    <row r="190" spans="1:8" ht="14.25" customHeight="1" x14ac:dyDescent="0.25">
      <c r="A190" s="71" t="s">
        <v>454</v>
      </c>
      <c r="B190" s="72" t="s">
        <v>324</v>
      </c>
      <c r="C190" s="72" t="s">
        <v>317</v>
      </c>
      <c r="D190" s="73">
        <f>7425+5700</f>
        <v>13125</v>
      </c>
      <c r="E190" s="73"/>
      <c r="F190" s="73"/>
      <c r="H190" s="74"/>
    </row>
    <row r="191" spans="1:8" ht="14.25" customHeight="1" x14ac:dyDescent="0.25">
      <c r="A191" s="71" t="s">
        <v>455</v>
      </c>
      <c r="B191" s="72" t="s">
        <v>324</v>
      </c>
      <c r="C191" s="72" t="s">
        <v>317</v>
      </c>
      <c r="D191" s="73">
        <v>1931</v>
      </c>
      <c r="E191" s="73"/>
      <c r="F191" s="73"/>
      <c r="H191" s="74"/>
    </row>
    <row r="192" spans="1:8" ht="14.25" customHeight="1" x14ac:dyDescent="0.25">
      <c r="A192" s="71" t="s">
        <v>743</v>
      </c>
      <c r="B192" s="72" t="s">
        <v>324</v>
      </c>
      <c r="C192" s="72" t="s">
        <v>317</v>
      </c>
      <c r="D192" s="73">
        <v>7425</v>
      </c>
      <c r="E192" s="73"/>
      <c r="F192" s="73"/>
      <c r="H192" s="74"/>
    </row>
    <row r="193" spans="1:8" ht="14.25" customHeight="1" x14ac:dyDescent="0.25">
      <c r="A193" s="71" t="s">
        <v>368</v>
      </c>
      <c r="B193" s="72" t="s">
        <v>324</v>
      </c>
      <c r="C193" s="72" t="s">
        <v>317</v>
      </c>
      <c r="D193" s="73"/>
      <c r="E193" s="73"/>
      <c r="F193" s="73"/>
      <c r="H193" s="74"/>
    </row>
    <row r="194" spans="1:8" ht="14.25" customHeight="1" x14ac:dyDescent="0.25">
      <c r="A194" s="71" t="s">
        <v>456</v>
      </c>
      <c r="B194" s="72" t="s">
        <v>324</v>
      </c>
      <c r="C194" s="72" t="s">
        <v>317</v>
      </c>
      <c r="D194" s="73"/>
      <c r="E194" s="73"/>
      <c r="F194" s="73"/>
      <c r="H194" s="74"/>
    </row>
    <row r="195" spans="1:8" ht="14.25" customHeight="1" x14ac:dyDescent="0.25">
      <c r="A195" s="71" t="s">
        <v>370</v>
      </c>
      <c r="B195" s="72" t="s">
        <v>324</v>
      </c>
      <c r="C195" s="72" t="s">
        <v>317</v>
      </c>
      <c r="D195" s="73"/>
      <c r="E195" s="73"/>
      <c r="F195" s="73"/>
      <c r="H195" s="74"/>
    </row>
    <row r="196" spans="1:8" x14ac:dyDescent="0.25">
      <c r="A196" s="77" t="s">
        <v>371</v>
      </c>
      <c r="B196" s="78" t="s">
        <v>372</v>
      </c>
      <c r="C196" s="78" t="s">
        <v>373</v>
      </c>
      <c r="D196" s="79"/>
      <c r="E196" s="79"/>
      <c r="F196" s="79"/>
      <c r="H196" s="74"/>
    </row>
    <row r="197" spans="1:8" s="76" customFormat="1" x14ac:dyDescent="0.25">
      <c r="A197" s="71" t="s">
        <v>374</v>
      </c>
      <c r="B197" s="72" t="s">
        <v>376</v>
      </c>
      <c r="C197" s="72" t="s">
        <v>377</v>
      </c>
      <c r="D197" s="73"/>
      <c r="E197" s="73"/>
      <c r="F197" s="73"/>
      <c r="G197" s="75"/>
      <c r="H197" s="75"/>
    </row>
    <row r="198" spans="1:8" s="76" customFormat="1" x14ac:dyDescent="0.25">
      <c r="A198" s="71" t="s">
        <v>378</v>
      </c>
      <c r="B198" s="72" t="s">
        <v>379</v>
      </c>
      <c r="C198" s="72" t="s">
        <v>380</v>
      </c>
      <c r="D198" s="73"/>
      <c r="E198" s="73"/>
      <c r="F198" s="73"/>
      <c r="H198" s="75"/>
    </row>
    <row r="199" spans="1:8" ht="15" customHeight="1" x14ac:dyDescent="0.25">
      <c r="A199" s="71" t="s">
        <v>381</v>
      </c>
      <c r="B199" s="72" t="s">
        <v>383</v>
      </c>
      <c r="C199" s="72" t="s">
        <v>377</v>
      </c>
      <c r="D199" s="73"/>
      <c r="E199" s="73"/>
      <c r="F199" s="73"/>
      <c r="G199" s="74"/>
      <c r="H199" s="74"/>
    </row>
    <row r="200" spans="1:8" x14ac:dyDescent="0.25">
      <c r="A200" s="71" t="s">
        <v>384</v>
      </c>
      <c r="B200" s="72" t="s">
        <v>383</v>
      </c>
      <c r="C200" s="72" t="s">
        <v>377</v>
      </c>
      <c r="D200" s="73"/>
      <c r="E200" s="73"/>
      <c r="F200" s="73"/>
      <c r="G200" s="74"/>
      <c r="H200" s="74"/>
    </row>
    <row r="201" spans="1:8" s="76" customFormat="1" x14ac:dyDescent="0.25">
      <c r="A201" s="150" t="s">
        <v>385</v>
      </c>
      <c r="B201" s="151" t="s">
        <v>324</v>
      </c>
      <c r="C201" s="78" t="s">
        <v>386</v>
      </c>
      <c r="D201" s="79">
        <f>27770+28389.11+3214.68-14898.03-25000-33-3181.68-16261.08</f>
        <v>0</v>
      </c>
      <c r="E201" s="79"/>
      <c r="F201" s="79"/>
      <c r="G201" s="75"/>
      <c r="H201" s="75"/>
    </row>
    <row r="202" spans="1:8" s="58" customFormat="1" ht="28.5" x14ac:dyDescent="0.2">
      <c r="A202" s="77" t="s">
        <v>387</v>
      </c>
      <c r="B202" s="78" t="s">
        <v>324</v>
      </c>
      <c r="C202" s="78" t="s">
        <v>388</v>
      </c>
      <c r="D202" s="80">
        <f>SUM(D203:D206)</f>
        <v>0</v>
      </c>
      <c r="E202" s="80">
        <f t="shared" ref="E202:F202" si="25">SUM(E203:E206)</f>
        <v>0</v>
      </c>
      <c r="F202" s="80">
        <f t="shared" si="25"/>
        <v>0</v>
      </c>
      <c r="G202" s="81"/>
      <c r="H202" s="81"/>
    </row>
    <row r="203" spans="1:8" s="76" customFormat="1" ht="15" customHeight="1" x14ac:dyDescent="0.25">
      <c r="A203" s="82" t="s">
        <v>459</v>
      </c>
      <c r="B203" s="83" t="s">
        <v>324</v>
      </c>
      <c r="C203" s="72" t="s">
        <v>464</v>
      </c>
      <c r="D203" s="73"/>
      <c r="E203" s="73"/>
      <c r="F203" s="73"/>
      <c r="G203" s="75"/>
      <c r="H203" s="75"/>
    </row>
    <row r="204" spans="1:8" s="76" customFormat="1" ht="15" customHeight="1" x14ac:dyDescent="0.25">
      <c r="A204" s="82" t="s">
        <v>480</v>
      </c>
      <c r="B204" s="83" t="s">
        <v>324</v>
      </c>
      <c r="C204" s="72" t="s">
        <v>509</v>
      </c>
      <c r="D204" s="73"/>
      <c r="E204" s="73"/>
      <c r="F204" s="73"/>
      <c r="G204" s="75"/>
      <c r="H204" s="75"/>
    </row>
    <row r="205" spans="1:8" s="76" customFormat="1" ht="15" customHeight="1" x14ac:dyDescent="0.25">
      <c r="A205" s="82" t="s">
        <v>457</v>
      </c>
      <c r="B205" s="83" t="s">
        <v>324</v>
      </c>
      <c r="C205" s="72" t="s">
        <v>392</v>
      </c>
      <c r="D205" s="73">
        <f>7425-7425</f>
        <v>0</v>
      </c>
      <c r="E205" s="73"/>
      <c r="F205" s="73"/>
      <c r="G205" s="75"/>
      <c r="H205" s="75"/>
    </row>
    <row r="206" spans="1:8" s="76" customFormat="1" ht="15" customHeight="1" x14ac:dyDescent="0.25">
      <c r="A206" s="82" t="s">
        <v>394</v>
      </c>
      <c r="B206" s="83" t="s">
        <v>324</v>
      </c>
      <c r="C206" s="72" t="s">
        <v>392</v>
      </c>
      <c r="D206" s="73"/>
      <c r="E206" s="73"/>
      <c r="F206" s="73"/>
      <c r="G206" s="75"/>
      <c r="H206" s="75"/>
    </row>
    <row r="207" spans="1:8" s="58" customFormat="1" ht="14.25" hidden="1" x14ac:dyDescent="0.2">
      <c r="A207" s="116" t="s">
        <v>415</v>
      </c>
      <c r="B207" s="87"/>
      <c r="C207" s="87"/>
      <c r="D207" s="79">
        <f>SUM(D208,D209,D210,D211,D212,D213,D214,D221,D219,D237,D248,D249,D250,D251,D252,D253,D254,D218,D220)</f>
        <v>0</v>
      </c>
      <c r="E207" s="79">
        <f t="shared" ref="E207:F207" si="26">SUM(E208,E209,E210,E211,E212,E213,E214,E221,E219,E237,E248,E249,E250,E251,E252,E253,E254,E218,E220)</f>
        <v>0</v>
      </c>
      <c r="F207" s="79">
        <f t="shared" si="26"/>
        <v>0</v>
      </c>
    </row>
    <row r="208" spans="1:8" hidden="1" x14ac:dyDescent="0.25">
      <c r="A208" s="71" t="s">
        <v>306</v>
      </c>
      <c r="B208" s="72" t="s">
        <v>308</v>
      </c>
      <c r="C208" s="72" t="s">
        <v>309</v>
      </c>
      <c r="D208" s="73"/>
      <c r="E208" s="73"/>
      <c r="F208" s="73"/>
      <c r="G208" s="74"/>
    </row>
    <row r="209" spans="1:8" hidden="1" x14ac:dyDescent="0.25">
      <c r="A209" s="71" t="s">
        <v>310</v>
      </c>
      <c r="B209" s="72" t="s">
        <v>308</v>
      </c>
      <c r="C209" s="72" t="s">
        <v>311</v>
      </c>
      <c r="D209" s="73"/>
      <c r="E209" s="73"/>
      <c r="F209" s="73"/>
      <c r="G209" s="74"/>
    </row>
    <row r="210" spans="1:8" s="76" customFormat="1" hidden="1" x14ac:dyDescent="0.25">
      <c r="A210" s="71" t="s">
        <v>312</v>
      </c>
      <c r="B210" s="72" t="s">
        <v>315</v>
      </c>
      <c r="C210" s="72" t="s">
        <v>311</v>
      </c>
      <c r="D210" s="73"/>
      <c r="E210" s="73"/>
      <c r="F210" s="73"/>
      <c r="G210" s="75"/>
      <c r="H210" s="75"/>
    </row>
    <row r="211" spans="1:8" s="76" customFormat="1" hidden="1" x14ac:dyDescent="0.25">
      <c r="A211" s="71" t="s">
        <v>316</v>
      </c>
      <c r="B211" s="72" t="s">
        <v>315</v>
      </c>
      <c r="C211" s="72" t="s">
        <v>317</v>
      </c>
      <c r="D211" s="73"/>
      <c r="E211" s="73"/>
      <c r="F211" s="73"/>
      <c r="G211" s="75"/>
      <c r="H211" s="75"/>
    </row>
    <row r="212" spans="1:8" s="76" customFormat="1" hidden="1" x14ac:dyDescent="0.25">
      <c r="A212" s="71" t="s">
        <v>318</v>
      </c>
      <c r="B212" s="72" t="s">
        <v>315</v>
      </c>
      <c r="C212" s="72" t="s">
        <v>311</v>
      </c>
      <c r="D212" s="73"/>
      <c r="E212" s="73"/>
      <c r="F212" s="73"/>
      <c r="G212" s="75"/>
      <c r="H212" s="75"/>
    </row>
    <row r="213" spans="1:8" hidden="1" x14ac:dyDescent="0.25">
      <c r="A213" s="71" t="s">
        <v>319</v>
      </c>
      <c r="B213" s="72" t="s">
        <v>321</v>
      </c>
      <c r="C213" s="72" t="s">
        <v>322</v>
      </c>
      <c r="D213" s="73"/>
      <c r="E213" s="73"/>
      <c r="F213" s="73"/>
      <c r="G213" s="74"/>
    </row>
    <row r="214" spans="1:8" s="58" customFormat="1" ht="14.25" hidden="1" x14ac:dyDescent="0.2">
      <c r="A214" s="77" t="s">
        <v>323</v>
      </c>
      <c r="B214" s="78" t="s">
        <v>324</v>
      </c>
      <c r="C214" s="78" t="s">
        <v>325</v>
      </c>
      <c r="D214" s="79">
        <f>SUM(D215:D216)</f>
        <v>0</v>
      </c>
      <c r="E214" s="79">
        <f t="shared" ref="E214:F214" si="27">SUM(E215:E216)</f>
        <v>0</v>
      </c>
      <c r="F214" s="79">
        <f t="shared" si="27"/>
        <v>0</v>
      </c>
      <c r="G214" s="81"/>
    </row>
    <row r="215" spans="1:8" ht="30" hidden="1" x14ac:dyDescent="0.25">
      <c r="A215" s="71" t="s">
        <v>326</v>
      </c>
      <c r="B215" s="72" t="s">
        <v>324</v>
      </c>
      <c r="C215" s="72" t="s">
        <v>325</v>
      </c>
      <c r="D215" s="73"/>
      <c r="E215" s="73"/>
      <c r="F215" s="73"/>
      <c r="G215" s="74"/>
      <c r="H215" s="74"/>
    </row>
    <row r="216" spans="1:8" s="76" customFormat="1" hidden="1" x14ac:dyDescent="0.25">
      <c r="A216" s="71" t="s">
        <v>328</v>
      </c>
      <c r="B216" s="72" t="s">
        <v>324</v>
      </c>
      <c r="C216" s="72" t="s">
        <v>325</v>
      </c>
      <c r="D216" s="73"/>
      <c r="E216" s="73"/>
      <c r="F216" s="73"/>
      <c r="G216" s="75"/>
      <c r="H216" s="75"/>
    </row>
    <row r="217" spans="1:8" s="76" customFormat="1" hidden="1" x14ac:dyDescent="0.25">
      <c r="A217" s="71" t="s">
        <v>329</v>
      </c>
      <c r="B217" s="72" t="s">
        <v>324</v>
      </c>
      <c r="C217" s="72" t="s">
        <v>330</v>
      </c>
      <c r="D217" s="73"/>
      <c r="E217" s="73"/>
      <c r="F217" s="73"/>
      <c r="H217" s="75"/>
    </row>
    <row r="218" spans="1:8" hidden="1" x14ac:dyDescent="0.25">
      <c r="A218" s="71" t="s">
        <v>331</v>
      </c>
      <c r="B218" s="72" t="s">
        <v>324</v>
      </c>
      <c r="C218" s="72" t="s">
        <v>333</v>
      </c>
      <c r="D218" s="73"/>
      <c r="E218" s="73"/>
      <c r="F218" s="73"/>
      <c r="G218" s="74"/>
      <c r="H218" s="74"/>
    </row>
    <row r="219" spans="1:8" hidden="1" x14ac:dyDescent="0.25">
      <c r="A219" s="82" t="s">
        <v>334</v>
      </c>
      <c r="B219" s="83" t="s">
        <v>324</v>
      </c>
      <c r="C219" s="72" t="s">
        <v>333</v>
      </c>
      <c r="D219" s="73"/>
      <c r="E219" s="73"/>
      <c r="F219" s="73"/>
      <c r="G219" s="76"/>
      <c r="H219" s="75"/>
    </row>
    <row r="220" spans="1:8" s="76" customFormat="1" hidden="1" x14ac:dyDescent="0.25">
      <c r="A220" s="82" t="s">
        <v>336</v>
      </c>
      <c r="B220" s="83" t="s">
        <v>324</v>
      </c>
      <c r="C220" s="72" t="s">
        <v>337</v>
      </c>
      <c r="D220" s="73"/>
      <c r="E220" s="73"/>
      <c r="F220" s="73"/>
      <c r="G220" s="75"/>
      <c r="H220" s="75"/>
    </row>
    <row r="221" spans="1:8" s="58" customFormat="1" ht="18" hidden="1" customHeight="1" x14ac:dyDescent="0.2">
      <c r="A221" s="77" t="s">
        <v>338</v>
      </c>
      <c r="B221" s="78" t="s">
        <v>324</v>
      </c>
      <c r="C221" s="78" t="s">
        <v>339</v>
      </c>
      <c r="D221" s="80">
        <f>SUM(D222:D236)</f>
        <v>0</v>
      </c>
      <c r="E221" s="80">
        <f t="shared" ref="E221:F221" si="28">SUM(E222:E236)</f>
        <v>0</v>
      </c>
      <c r="F221" s="80">
        <f t="shared" si="28"/>
        <v>0</v>
      </c>
      <c r="G221" s="81"/>
      <c r="H221" s="81"/>
    </row>
    <row r="222" spans="1:8" ht="30" hidden="1" x14ac:dyDescent="0.25">
      <c r="A222" s="71" t="s">
        <v>340</v>
      </c>
      <c r="B222" s="72" t="s">
        <v>324</v>
      </c>
      <c r="C222" s="72" t="s">
        <v>339</v>
      </c>
      <c r="D222" s="73"/>
      <c r="E222" s="73"/>
      <c r="F222" s="73"/>
      <c r="G222" s="74"/>
      <c r="H222" s="74"/>
    </row>
    <row r="223" spans="1:8" s="84" customFormat="1" ht="15" hidden="1" customHeight="1" x14ac:dyDescent="0.25">
      <c r="A223" s="71" t="s">
        <v>342</v>
      </c>
      <c r="B223" s="72" t="s">
        <v>324</v>
      </c>
      <c r="C223" s="72" t="s">
        <v>339</v>
      </c>
      <c r="D223" s="73"/>
      <c r="E223" s="73"/>
      <c r="F223" s="73"/>
      <c r="H223" s="85"/>
    </row>
    <row r="224" spans="1:8" ht="30" hidden="1" x14ac:dyDescent="0.25">
      <c r="A224" s="71" t="s">
        <v>344</v>
      </c>
      <c r="B224" s="72" t="s">
        <v>324</v>
      </c>
      <c r="C224" s="72" t="s">
        <v>339</v>
      </c>
      <c r="D224" s="73"/>
      <c r="E224" s="73"/>
      <c r="F224" s="73"/>
      <c r="G224" s="74"/>
      <c r="H224" s="74"/>
    </row>
    <row r="225" spans="1:8" ht="15" hidden="1" customHeight="1" x14ac:dyDescent="0.25">
      <c r="A225" s="71" t="s">
        <v>346</v>
      </c>
      <c r="B225" s="72" t="s">
        <v>324</v>
      </c>
      <c r="C225" s="72" t="s">
        <v>339</v>
      </c>
      <c r="D225" s="73"/>
      <c r="E225" s="73"/>
      <c r="F225" s="73"/>
      <c r="G225" s="74"/>
      <c r="H225" s="74"/>
    </row>
    <row r="226" spans="1:8" ht="30" hidden="1" x14ac:dyDescent="0.25">
      <c r="A226" s="71" t="s">
        <v>347</v>
      </c>
      <c r="B226" s="72" t="s">
        <v>324</v>
      </c>
      <c r="C226" s="72" t="s">
        <v>339</v>
      </c>
      <c r="D226" s="73"/>
      <c r="E226" s="73"/>
      <c r="F226" s="73"/>
      <c r="H226" s="74"/>
    </row>
    <row r="227" spans="1:8" ht="14.25" hidden="1" customHeight="1" x14ac:dyDescent="0.25">
      <c r="A227" s="71" t="s">
        <v>348</v>
      </c>
      <c r="B227" s="72" t="s">
        <v>324</v>
      </c>
      <c r="C227" s="72" t="s">
        <v>339</v>
      </c>
      <c r="D227" s="73"/>
      <c r="E227" s="73"/>
      <c r="F227" s="73"/>
      <c r="H227" s="74"/>
    </row>
    <row r="228" spans="1:8" ht="14.25" hidden="1" customHeight="1" x14ac:dyDescent="0.25">
      <c r="A228" s="71" t="s">
        <v>349</v>
      </c>
      <c r="B228" s="72" t="s">
        <v>324</v>
      </c>
      <c r="C228" s="72" t="s">
        <v>339</v>
      </c>
      <c r="D228" s="73"/>
      <c r="E228" s="73"/>
      <c r="F228" s="73"/>
      <c r="H228" s="74"/>
    </row>
    <row r="229" spans="1:8" ht="14.25" hidden="1" customHeight="1" x14ac:dyDescent="0.25">
      <c r="A229" s="71" t="s">
        <v>350</v>
      </c>
      <c r="B229" s="72" t="s">
        <v>324</v>
      </c>
      <c r="C229" s="72" t="s">
        <v>339</v>
      </c>
      <c r="D229" s="73"/>
      <c r="E229" s="73"/>
      <c r="F229" s="73"/>
      <c r="H229" s="74"/>
    </row>
    <row r="230" spans="1:8" ht="14.25" hidden="1" customHeight="1" x14ac:dyDescent="0.25">
      <c r="A230" s="71" t="s">
        <v>351</v>
      </c>
      <c r="B230" s="72" t="s">
        <v>324</v>
      </c>
      <c r="C230" s="72" t="s">
        <v>339</v>
      </c>
      <c r="D230" s="73"/>
      <c r="E230" s="73"/>
      <c r="F230" s="73"/>
      <c r="H230" s="74"/>
    </row>
    <row r="231" spans="1:8" ht="14.25" hidden="1" customHeight="1" x14ac:dyDescent="0.25">
      <c r="A231" s="71" t="s">
        <v>352</v>
      </c>
      <c r="B231" s="72" t="s">
        <v>324</v>
      </c>
      <c r="C231" s="72" t="s">
        <v>339</v>
      </c>
      <c r="D231" s="73"/>
      <c r="E231" s="73"/>
      <c r="F231" s="73"/>
      <c r="H231" s="74"/>
    </row>
    <row r="232" spans="1:8" ht="14.25" hidden="1" customHeight="1" x14ac:dyDescent="0.25">
      <c r="A232" s="71" t="s">
        <v>353</v>
      </c>
      <c r="B232" s="72" t="s">
        <v>324</v>
      </c>
      <c r="C232" s="72" t="s">
        <v>339</v>
      </c>
      <c r="D232" s="73"/>
      <c r="E232" s="73"/>
      <c r="F232" s="73"/>
      <c r="H232" s="74"/>
    </row>
    <row r="233" spans="1:8" ht="14.25" hidden="1" customHeight="1" x14ac:dyDescent="0.25">
      <c r="A233" s="71" t="s">
        <v>354</v>
      </c>
      <c r="B233" s="72" t="s">
        <v>324</v>
      </c>
      <c r="C233" s="72" t="s">
        <v>339</v>
      </c>
      <c r="D233" s="73"/>
      <c r="E233" s="73"/>
      <c r="F233" s="73"/>
      <c r="H233" s="74"/>
    </row>
    <row r="234" spans="1:8" ht="14.25" hidden="1" customHeight="1" x14ac:dyDescent="0.25">
      <c r="A234" s="71" t="s">
        <v>355</v>
      </c>
      <c r="B234" s="72" t="s">
        <v>324</v>
      </c>
      <c r="C234" s="72" t="s">
        <v>339</v>
      </c>
      <c r="D234" s="73"/>
      <c r="E234" s="73"/>
      <c r="F234" s="73"/>
      <c r="H234" s="74"/>
    </row>
    <row r="235" spans="1:8" ht="14.25" hidden="1" customHeight="1" x14ac:dyDescent="0.25">
      <c r="A235" s="71" t="s">
        <v>356</v>
      </c>
      <c r="B235" s="72" t="s">
        <v>324</v>
      </c>
      <c r="C235" s="72" t="s">
        <v>339</v>
      </c>
      <c r="D235" s="73"/>
      <c r="E235" s="73"/>
      <c r="F235" s="73"/>
      <c r="H235" s="74"/>
    </row>
    <row r="236" spans="1:8" ht="14.25" hidden="1" customHeight="1" x14ac:dyDescent="0.25">
      <c r="A236" s="71" t="s">
        <v>357</v>
      </c>
      <c r="B236" s="72" t="s">
        <v>324</v>
      </c>
      <c r="C236" s="72" t="s">
        <v>339</v>
      </c>
      <c r="D236" s="73"/>
      <c r="E236" s="73"/>
      <c r="F236" s="73"/>
      <c r="H236" s="74"/>
    </row>
    <row r="237" spans="1:8" s="58" customFormat="1" ht="18" hidden="1" customHeight="1" x14ac:dyDescent="0.2">
      <c r="A237" s="77" t="s">
        <v>359</v>
      </c>
      <c r="B237" s="78" t="s">
        <v>324</v>
      </c>
      <c r="C237" s="78" t="s">
        <v>317</v>
      </c>
      <c r="D237" s="80">
        <f>SUM(D238:D247)</f>
        <v>0</v>
      </c>
      <c r="E237" s="80">
        <f t="shared" ref="E237:F237" si="29">SUM(E238:E247)</f>
        <v>0</v>
      </c>
      <c r="F237" s="80">
        <f t="shared" si="29"/>
        <v>0</v>
      </c>
      <c r="G237" s="81"/>
      <c r="H237" s="81"/>
    </row>
    <row r="238" spans="1:8" s="76" customFormat="1" hidden="1" x14ac:dyDescent="0.25">
      <c r="A238" s="71" t="s">
        <v>360</v>
      </c>
      <c r="B238" s="72" t="s">
        <v>324</v>
      </c>
      <c r="C238" s="72" t="s">
        <v>317</v>
      </c>
      <c r="D238" s="73"/>
      <c r="E238" s="73"/>
      <c r="F238" s="73"/>
      <c r="G238" s="63"/>
      <c r="H238" s="74"/>
    </row>
    <row r="239" spans="1:8" ht="14.25" hidden="1" customHeight="1" x14ac:dyDescent="0.25">
      <c r="A239" s="71" t="s">
        <v>362</v>
      </c>
      <c r="B239" s="72" t="s">
        <v>324</v>
      </c>
      <c r="C239" s="72" t="s">
        <v>317</v>
      </c>
      <c r="D239" s="73"/>
      <c r="E239" s="73"/>
      <c r="F239" s="73"/>
      <c r="H239" s="74"/>
    </row>
    <row r="240" spans="1:8" ht="14.25" hidden="1" customHeight="1" x14ac:dyDescent="0.25">
      <c r="A240" s="71" t="s">
        <v>363</v>
      </c>
      <c r="B240" s="72" t="s">
        <v>324</v>
      </c>
      <c r="C240" s="72" t="s">
        <v>317</v>
      </c>
      <c r="D240" s="73"/>
      <c r="E240" s="73"/>
      <c r="F240" s="73"/>
      <c r="H240" s="74"/>
    </row>
    <row r="241" spans="1:8" ht="14.25" hidden="1" customHeight="1" x14ac:dyDescent="0.25">
      <c r="A241" s="71" t="s">
        <v>364</v>
      </c>
      <c r="B241" s="72" t="s">
        <v>324</v>
      </c>
      <c r="C241" s="72" t="s">
        <v>317</v>
      </c>
      <c r="D241" s="73"/>
      <c r="E241" s="73"/>
      <c r="F241" s="73"/>
      <c r="H241" s="74"/>
    </row>
    <row r="242" spans="1:8" ht="14.25" hidden="1" customHeight="1" x14ac:dyDescent="0.25">
      <c r="A242" s="71" t="s">
        <v>454</v>
      </c>
      <c r="B242" s="72" t="s">
        <v>324</v>
      </c>
      <c r="C242" s="72" t="s">
        <v>317</v>
      </c>
      <c r="D242" s="73"/>
      <c r="E242" s="73"/>
      <c r="F242" s="73"/>
      <c r="H242" s="74"/>
    </row>
    <row r="243" spans="1:8" ht="14.25" hidden="1" customHeight="1" x14ac:dyDescent="0.25">
      <c r="A243" s="71" t="s">
        <v>455</v>
      </c>
      <c r="B243" s="72" t="s">
        <v>324</v>
      </c>
      <c r="C243" s="72" t="s">
        <v>317</v>
      </c>
      <c r="D243" s="73"/>
      <c r="E243" s="73"/>
      <c r="F243" s="73"/>
      <c r="H243" s="74"/>
    </row>
    <row r="244" spans="1:8" ht="14.25" hidden="1" customHeight="1" x14ac:dyDescent="0.25">
      <c r="A244" s="71" t="s">
        <v>367</v>
      </c>
      <c r="B244" s="72" t="s">
        <v>324</v>
      </c>
      <c r="C244" s="72" t="s">
        <v>317</v>
      </c>
      <c r="D244" s="73"/>
      <c r="E244" s="73"/>
      <c r="F244" s="73"/>
      <c r="H244" s="74"/>
    </row>
    <row r="245" spans="1:8" ht="14.25" hidden="1" customHeight="1" x14ac:dyDescent="0.25">
      <c r="A245" s="71" t="s">
        <v>368</v>
      </c>
      <c r="B245" s="72" t="s">
        <v>324</v>
      </c>
      <c r="C245" s="72" t="s">
        <v>317</v>
      </c>
      <c r="D245" s="73"/>
      <c r="E245" s="73"/>
      <c r="F245" s="73"/>
      <c r="H245" s="74"/>
    </row>
    <row r="246" spans="1:8" ht="14.25" hidden="1" customHeight="1" x14ac:dyDescent="0.25">
      <c r="A246" s="71" t="s">
        <v>369</v>
      </c>
      <c r="B246" s="72" t="s">
        <v>324</v>
      </c>
      <c r="C246" s="72" t="s">
        <v>317</v>
      </c>
      <c r="D246" s="73"/>
      <c r="E246" s="73"/>
      <c r="F246" s="73"/>
      <c r="H246" s="74"/>
    </row>
    <row r="247" spans="1:8" ht="14.25" hidden="1" customHeight="1" x14ac:dyDescent="0.25">
      <c r="A247" s="71" t="s">
        <v>370</v>
      </c>
      <c r="B247" s="72" t="s">
        <v>324</v>
      </c>
      <c r="C247" s="72" t="s">
        <v>317</v>
      </c>
      <c r="D247" s="73"/>
      <c r="E247" s="73"/>
      <c r="F247" s="73"/>
      <c r="H247" s="74"/>
    </row>
    <row r="248" spans="1:8" hidden="1" x14ac:dyDescent="0.25">
      <c r="A248" s="77" t="s">
        <v>371</v>
      </c>
      <c r="B248" s="78" t="s">
        <v>372</v>
      </c>
      <c r="C248" s="78" t="s">
        <v>373</v>
      </c>
      <c r="D248" s="79"/>
      <c r="E248" s="79"/>
      <c r="F248" s="79"/>
      <c r="H248" s="74"/>
    </row>
    <row r="249" spans="1:8" s="76" customFormat="1" hidden="1" x14ac:dyDescent="0.25">
      <c r="A249" s="71" t="s">
        <v>374</v>
      </c>
      <c r="B249" s="72" t="s">
        <v>376</v>
      </c>
      <c r="C249" s="72" t="s">
        <v>377</v>
      </c>
      <c r="D249" s="73"/>
      <c r="E249" s="73"/>
      <c r="F249" s="73"/>
      <c r="G249" s="75"/>
      <c r="H249" s="75"/>
    </row>
    <row r="250" spans="1:8" s="76" customFormat="1" hidden="1" x14ac:dyDescent="0.25">
      <c r="A250" s="71" t="s">
        <v>378</v>
      </c>
      <c r="B250" s="72" t="s">
        <v>379</v>
      </c>
      <c r="C250" s="72" t="s">
        <v>380</v>
      </c>
      <c r="D250" s="73"/>
      <c r="E250" s="73"/>
      <c r="F250" s="73"/>
      <c r="H250" s="75"/>
    </row>
    <row r="251" spans="1:8" ht="15" hidden="1" customHeight="1" x14ac:dyDescent="0.25">
      <c r="A251" s="71" t="s">
        <v>381</v>
      </c>
      <c r="B251" s="72" t="s">
        <v>383</v>
      </c>
      <c r="C251" s="72" t="s">
        <v>377</v>
      </c>
      <c r="D251" s="73"/>
      <c r="E251" s="73"/>
      <c r="F251" s="73"/>
      <c r="G251" s="74"/>
      <c r="H251" s="74"/>
    </row>
    <row r="252" spans="1:8" hidden="1" x14ac:dyDescent="0.25">
      <c r="A252" s="71" t="s">
        <v>384</v>
      </c>
      <c r="B252" s="72" t="s">
        <v>383</v>
      </c>
      <c r="C252" s="72" t="s">
        <v>377</v>
      </c>
      <c r="D252" s="73"/>
      <c r="E252" s="73"/>
      <c r="F252" s="73"/>
      <c r="G252" s="74"/>
      <c r="H252" s="74"/>
    </row>
    <row r="253" spans="1:8" s="76" customFormat="1" hidden="1" x14ac:dyDescent="0.25">
      <c r="A253" s="82" t="s">
        <v>385</v>
      </c>
      <c r="B253" s="83" t="s">
        <v>324</v>
      </c>
      <c r="C253" s="72" t="s">
        <v>386</v>
      </c>
      <c r="D253" s="73"/>
      <c r="E253" s="73"/>
      <c r="F253" s="73"/>
      <c r="G253" s="75"/>
      <c r="H253" s="75"/>
    </row>
    <row r="254" spans="1:8" s="58" customFormat="1" ht="28.5" hidden="1" x14ac:dyDescent="0.2">
      <c r="A254" s="77" t="s">
        <v>387</v>
      </c>
      <c r="B254" s="78" t="s">
        <v>324</v>
      </c>
      <c r="C254" s="78" t="s">
        <v>388</v>
      </c>
      <c r="D254" s="80">
        <f>SUM(D255:D260)</f>
        <v>0</v>
      </c>
      <c r="E254" s="80">
        <f t="shared" ref="E254:F254" si="30">SUM(E255:E260)</f>
        <v>0</v>
      </c>
      <c r="F254" s="80">
        <f t="shared" si="30"/>
        <v>0</v>
      </c>
      <c r="G254" s="81"/>
      <c r="H254" s="81"/>
    </row>
    <row r="255" spans="1:8" s="76" customFormat="1" ht="15" hidden="1" customHeight="1" x14ac:dyDescent="0.25">
      <c r="A255" s="82" t="s">
        <v>461</v>
      </c>
      <c r="B255" s="83" t="s">
        <v>324</v>
      </c>
      <c r="C255" s="72" t="s">
        <v>463</v>
      </c>
      <c r="D255" s="73"/>
      <c r="E255" s="73"/>
      <c r="F255" s="73"/>
      <c r="G255" s="75"/>
      <c r="H255" s="75"/>
    </row>
    <row r="256" spans="1:8" s="76" customFormat="1" ht="15" hidden="1" customHeight="1" x14ac:dyDescent="0.25">
      <c r="A256" s="82" t="s">
        <v>462</v>
      </c>
      <c r="B256" s="83" t="s">
        <v>324</v>
      </c>
      <c r="C256" s="72" t="s">
        <v>464</v>
      </c>
      <c r="D256" s="73"/>
      <c r="E256" s="73"/>
      <c r="F256" s="73"/>
      <c r="G256" s="75"/>
      <c r="H256" s="75"/>
    </row>
    <row r="257" spans="1:8" s="76" customFormat="1" ht="15" hidden="1" customHeight="1" x14ac:dyDescent="0.25">
      <c r="A257" s="82" t="s">
        <v>389</v>
      </c>
      <c r="B257" s="83" t="s">
        <v>324</v>
      </c>
      <c r="C257" s="72" t="s">
        <v>390</v>
      </c>
      <c r="D257" s="73"/>
      <c r="E257" s="73"/>
      <c r="F257" s="73"/>
      <c r="G257" s="75"/>
      <c r="H257" s="75"/>
    </row>
    <row r="258" spans="1:8" s="76" customFormat="1" ht="15" hidden="1" customHeight="1" x14ac:dyDescent="0.25">
      <c r="A258" s="82" t="s">
        <v>458</v>
      </c>
      <c r="B258" s="83" t="s">
        <v>324</v>
      </c>
      <c r="C258" s="72" t="s">
        <v>392</v>
      </c>
      <c r="D258" s="73"/>
      <c r="E258" s="73"/>
      <c r="F258" s="73"/>
      <c r="G258" s="75"/>
      <c r="H258" s="75"/>
    </row>
    <row r="259" spans="1:8" s="76" customFormat="1" ht="15" hidden="1" customHeight="1" x14ac:dyDescent="0.25">
      <c r="A259" s="82" t="s">
        <v>457</v>
      </c>
      <c r="B259" s="83" t="s">
        <v>324</v>
      </c>
      <c r="C259" s="72" t="s">
        <v>392</v>
      </c>
      <c r="D259" s="73"/>
      <c r="E259" s="73"/>
      <c r="F259" s="73"/>
      <c r="G259" s="75"/>
      <c r="H259" s="75"/>
    </row>
    <row r="260" spans="1:8" s="76" customFormat="1" ht="15" hidden="1" customHeight="1" x14ac:dyDescent="0.25">
      <c r="A260" s="82" t="s">
        <v>394</v>
      </c>
      <c r="B260" s="83" t="s">
        <v>324</v>
      </c>
      <c r="C260" s="72" t="s">
        <v>392</v>
      </c>
      <c r="D260" s="73"/>
      <c r="E260" s="73"/>
      <c r="F260" s="73"/>
      <c r="G260" s="75"/>
      <c r="H260" s="75"/>
    </row>
    <row r="261" spans="1:8" s="58" customFormat="1" ht="14.25" x14ac:dyDescent="0.2">
      <c r="A261" s="116" t="s">
        <v>416</v>
      </c>
      <c r="B261" s="116"/>
      <c r="C261" s="116"/>
      <c r="D261" s="297">
        <f>SUM(D262,D263,D264,D265,D266,D267,D268,D275,D273,D291,D302,D303,D304,D305,D306,D307,D308,D272,D274)</f>
        <v>120190.1</v>
      </c>
      <c r="E261" s="297">
        <f t="shared" ref="E261:F261" si="31">SUM(E262,E263,E264,E265,E266,E267,E268,E275,E273,E291,E302,E303,E304,E305,E306,E307,E308,E272,E274)</f>
        <v>0</v>
      </c>
      <c r="F261" s="297">
        <f t="shared" si="31"/>
        <v>0</v>
      </c>
    </row>
    <row r="262" spans="1:8" hidden="1" x14ac:dyDescent="0.25">
      <c r="A262" s="71" t="s">
        <v>306</v>
      </c>
      <c r="B262" s="72" t="s">
        <v>308</v>
      </c>
      <c r="C262" s="72" t="s">
        <v>309</v>
      </c>
      <c r="D262" s="73"/>
      <c r="E262" s="73"/>
      <c r="F262" s="73"/>
      <c r="G262" s="74"/>
    </row>
    <row r="263" spans="1:8" hidden="1" x14ac:dyDescent="0.25">
      <c r="A263" s="71" t="s">
        <v>310</v>
      </c>
      <c r="B263" s="72" t="s">
        <v>308</v>
      </c>
      <c r="C263" s="72" t="s">
        <v>311</v>
      </c>
      <c r="D263" s="73"/>
      <c r="E263" s="73"/>
      <c r="F263" s="73"/>
      <c r="G263" s="74"/>
    </row>
    <row r="264" spans="1:8" s="76" customFormat="1" hidden="1" x14ac:dyDescent="0.25">
      <c r="A264" s="71" t="s">
        <v>312</v>
      </c>
      <c r="B264" s="72" t="s">
        <v>315</v>
      </c>
      <c r="C264" s="72" t="s">
        <v>311</v>
      </c>
      <c r="D264" s="73"/>
      <c r="E264" s="73"/>
      <c r="F264" s="73"/>
      <c r="G264" s="75"/>
      <c r="H264" s="75"/>
    </row>
    <row r="265" spans="1:8" s="76" customFormat="1" hidden="1" x14ac:dyDescent="0.25">
      <c r="A265" s="71" t="s">
        <v>316</v>
      </c>
      <c r="B265" s="72" t="s">
        <v>315</v>
      </c>
      <c r="C265" s="72" t="s">
        <v>317</v>
      </c>
      <c r="D265" s="73"/>
      <c r="E265" s="73"/>
      <c r="F265" s="73"/>
      <c r="G265" s="75"/>
      <c r="H265" s="75"/>
    </row>
    <row r="266" spans="1:8" s="76" customFormat="1" hidden="1" x14ac:dyDescent="0.25">
      <c r="A266" s="71" t="s">
        <v>318</v>
      </c>
      <c r="B266" s="72" t="s">
        <v>315</v>
      </c>
      <c r="C266" s="72" t="s">
        <v>311</v>
      </c>
      <c r="D266" s="73"/>
      <c r="E266" s="73"/>
      <c r="F266" s="73"/>
      <c r="G266" s="75"/>
      <c r="H266" s="75"/>
    </row>
    <row r="267" spans="1:8" hidden="1" x14ac:dyDescent="0.25">
      <c r="A267" s="71" t="s">
        <v>319</v>
      </c>
      <c r="B267" s="72" t="s">
        <v>321</v>
      </c>
      <c r="C267" s="72" t="s">
        <v>322</v>
      </c>
      <c r="D267" s="73"/>
      <c r="E267" s="73"/>
      <c r="F267" s="73"/>
      <c r="G267" s="74"/>
    </row>
    <row r="268" spans="1:8" s="58" customFormat="1" ht="14.25" hidden="1" x14ac:dyDescent="0.2">
      <c r="A268" s="77" t="s">
        <v>323</v>
      </c>
      <c r="B268" s="78" t="s">
        <v>324</v>
      </c>
      <c r="C268" s="78" t="s">
        <v>325</v>
      </c>
      <c r="D268" s="79">
        <f>SUM(D269:D270)</f>
        <v>0</v>
      </c>
      <c r="E268" s="79">
        <f t="shared" ref="E268:F268" si="32">SUM(E269:E270)</f>
        <v>0</v>
      </c>
      <c r="F268" s="79">
        <f t="shared" si="32"/>
        <v>0</v>
      </c>
      <c r="G268" s="81"/>
    </row>
    <row r="269" spans="1:8" ht="30" hidden="1" x14ac:dyDescent="0.25">
      <c r="A269" s="71" t="s">
        <v>326</v>
      </c>
      <c r="B269" s="72" t="s">
        <v>324</v>
      </c>
      <c r="C269" s="72" t="s">
        <v>325</v>
      </c>
      <c r="D269" s="73"/>
      <c r="E269" s="73"/>
      <c r="F269" s="73"/>
      <c r="G269" s="74"/>
      <c r="H269" s="74"/>
    </row>
    <row r="270" spans="1:8" s="76" customFormat="1" hidden="1" x14ac:dyDescent="0.25">
      <c r="A270" s="71" t="s">
        <v>328</v>
      </c>
      <c r="B270" s="72" t="s">
        <v>324</v>
      </c>
      <c r="C270" s="72" t="s">
        <v>325</v>
      </c>
      <c r="D270" s="73"/>
      <c r="E270" s="73"/>
      <c r="F270" s="73"/>
      <c r="G270" s="75"/>
      <c r="H270" s="75"/>
    </row>
    <row r="271" spans="1:8" s="76" customFormat="1" hidden="1" x14ac:dyDescent="0.25">
      <c r="A271" s="71" t="s">
        <v>329</v>
      </c>
      <c r="B271" s="72" t="s">
        <v>324</v>
      </c>
      <c r="C271" s="72" t="s">
        <v>330</v>
      </c>
      <c r="D271" s="73"/>
      <c r="E271" s="73"/>
      <c r="F271" s="73"/>
      <c r="H271" s="75"/>
    </row>
    <row r="272" spans="1:8" hidden="1" x14ac:dyDescent="0.25">
      <c r="A272" s="71" t="s">
        <v>331</v>
      </c>
      <c r="B272" s="72" t="s">
        <v>324</v>
      </c>
      <c r="C272" s="72" t="s">
        <v>333</v>
      </c>
      <c r="D272" s="73"/>
      <c r="E272" s="73"/>
      <c r="F272" s="73"/>
      <c r="G272" s="74"/>
      <c r="H272" s="74"/>
    </row>
    <row r="273" spans="1:8" hidden="1" x14ac:dyDescent="0.25">
      <c r="A273" s="82" t="s">
        <v>334</v>
      </c>
      <c r="B273" s="83" t="s">
        <v>324</v>
      </c>
      <c r="C273" s="72" t="s">
        <v>333</v>
      </c>
      <c r="D273" s="73"/>
      <c r="E273" s="73"/>
      <c r="F273" s="73"/>
      <c r="G273" s="76"/>
      <c r="H273" s="75"/>
    </row>
    <row r="274" spans="1:8" s="76" customFormat="1" hidden="1" x14ac:dyDescent="0.25">
      <c r="A274" s="82" t="s">
        <v>336</v>
      </c>
      <c r="B274" s="83" t="s">
        <v>324</v>
      </c>
      <c r="C274" s="72" t="s">
        <v>337</v>
      </c>
      <c r="D274" s="73"/>
      <c r="E274" s="73"/>
      <c r="F274" s="73"/>
      <c r="G274" s="75"/>
      <c r="H274" s="75"/>
    </row>
    <row r="275" spans="1:8" s="58" customFormat="1" ht="18" hidden="1" customHeight="1" x14ac:dyDescent="0.2">
      <c r="A275" s="77" t="s">
        <v>338</v>
      </c>
      <c r="B275" s="78" t="s">
        <v>324</v>
      </c>
      <c r="C275" s="78" t="s">
        <v>339</v>
      </c>
      <c r="D275" s="80">
        <f>SUM(D276:D290)</f>
        <v>0</v>
      </c>
      <c r="E275" s="80">
        <f t="shared" ref="E275:F275" si="33">SUM(E276:E290)</f>
        <v>0</v>
      </c>
      <c r="F275" s="80">
        <f t="shared" si="33"/>
        <v>0</v>
      </c>
      <c r="G275" s="81"/>
      <c r="H275" s="81"/>
    </row>
    <row r="276" spans="1:8" ht="30" hidden="1" x14ac:dyDescent="0.25">
      <c r="A276" s="71" t="s">
        <v>340</v>
      </c>
      <c r="B276" s="72" t="s">
        <v>324</v>
      </c>
      <c r="C276" s="72" t="s">
        <v>339</v>
      </c>
      <c r="D276" s="73"/>
      <c r="E276" s="73"/>
      <c r="F276" s="73"/>
      <c r="G276" s="74"/>
      <c r="H276" s="74"/>
    </row>
    <row r="277" spans="1:8" s="84" customFormat="1" ht="15" hidden="1" customHeight="1" x14ac:dyDescent="0.25">
      <c r="A277" s="71" t="s">
        <v>342</v>
      </c>
      <c r="B277" s="72" t="s">
        <v>324</v>
      </c>
      <c r="C277" s="72" t="s">
        <v>339</v>
      </c>
      <c r="D277" s="73"/>
      <c r="E277" s="73"/>
      <c r="F277" s="73"/>
      <c r="H277" s="85"/>
    </row>
    <row r="278" spans="1:8" ht="30" hidden="1" x14ac:dyDescent="0.25">
      <c r="A278" s="71" t="s">
        <v>344</v>
      </c>
      <c r="B278" s="72" t="s">
        <v>324</v>
      </c>
      <c r="C278" s="72" t="s">
        <v>339</v>
      </c>
      <c r="D278" s="73"/>
      <c r="E278" s="73"/>
      <c r="F278" s="73"/>
      <c r="G278" s="74"/>
      <c r="H278" s="74"/>
    </row>
    <row r="279" spans="1:8" ht="15" hidden="1" customHeight="1" x14ac:dyDescent="0.25">
      <c r="A279" s="71" t="s">
        <v>346</v>
      </c>
      <c r="B279" s="72" t="s">
        <v>324</v>
      </c>
      <c r="C279" s="72" t="s">
        <v>339</v>
      </c>
      <c r="D279" s="73"/>
      <c r="E279" s="73"/>
      <c r="F279" s="73"/>
      <c r="G279" s="74"/>
      <c r="H279" s="74"/>
    </row>
    <row r="280" spans="1:8" ht="30" hidden="1" x14ac:dyDescent="0.25">
      <c r="A280" s="71" t="s">
        <v>347</v>
      </c>
      <c r="B280" s="72" t="s">
        <v>324</v>
      </c>
      <c r="C280" s="72" t="s">
        <v>339</v>
      </c>
      <c r="D280" s="73"/>
      <c r="E280" s="73"/>
      <c r="F280" s="73"/>
      <c r="H280" s="74"/>
    </row>
    <row r="281" spans="1:8" ht="14.25" hidden="1" customHeight="1" x14ac:dyDescent="0.25">
      <c r="A281" s="71" t="s">
        <v>348</v>
      </c>
      <c r="B281" s="72" t="s">
        <v>324</v>
      </c>
      <c r="C281" s="72" t="s">
        <v>339</v>
      </c>
      <c r="D281" s="73"/>
      <c r="E281" s="73"/>
      <c r="F281" s="73"/>
      <c r="H281" s="74"/>
    </row>
    <row r="282" spans="1:8" ht="14.25" hidden="1" customHeight="1" x14ac:dyDescent="0.25">
      <c r="A282" s="71" t="s">
        <v>349</v>
      </c>
      <c r="B282" s="72" t="s">
        <v>324</v>
      </c>
      <c r="C282" s="72" t="s">
        <v>339</v>
      </c>
      <c r="D282" s="73"/>
      <c r="E282" s="73"/>
      <c r="F282" s="73"/>
      <c r="H282" s="74"/>
    </row>
    <row r="283" spans="1:8" ht="14.25" hidden="1" customHeight="1" x14ac:dyDescent="0.25">
      <c r="A283" s="71" t="s">
        <v>350</v>
      </c>
      <c r="B283" s="72" t="s">
        <v>324</v>
      </c>
      <c r="C283" s="72" t="s">
        <v>339</v>
      </c>
      <c r="D283" s="73"/>
      <c r="E283" s="73"/>
      <c r="F283" s="73"/>
      <c r="H283" s="74"/>
    </row>
    <row r="284" spans="1:8" ht="14.25" hidden="1" customHeight="1" x14ac:dyDescent="0.25">
      <c r="A284" s="71" t="s">
        <v>351</v>
      </c>
      <c r="B284" s="72" t="s">
        <v>324</v>
      </c>
      <c r="C284" s="72" t="s">
        <v>339</v>
      </c>
      <c r="D284" s="73"/>
      <c r="E284" s="73"/>
      <c r="F284" s="73"/>
      <c r="H284" s="74"/>
    </row>
    <row r="285" spans="1:8" ht="14.25" hidden="1" customHeight="1" x14ac:dyDescent="0.25">
      <c r="A285" s="71" t="s">
        <v>352</v>
      </c>
      <c r="B285" s="72" t="s">
        <v>324</v>
      </c>
      <c r="C285" s="72" t="s">
        <v>339</v>
      </c>
      <c r="D285" s="73"/>
      <c r="E285" s="73"/>
      <c r="F285" s="73"/>
      <c r="H285" s="74"/>
    </row>
    <row r="286" spans="1:8" ht="14.25" hidden="1" customHeight="1" x14ac:dyDescent="0.25">
      <c r="A286" s="71" t="s">
        <v>353</v>
      </c>
      <c r="B286" s="72" t="s">
        <v>324</v>
      </c>
      <c r="C286" s="72" t="s">
        <v>339</v>
      </c>
      <c r="D286" s="73"/>
      <c r="E286" s="73"/>
      <c r="F286" s="73"/>
      <c r="H286" s="74"/>
    </row>
    <row r="287" spans="1:8" ht="14.25" hidden="1" customHeight="1" x14ac:dyDescent="0.25">
      <c r="A287" s="71" t="s">
        <v>354</v>
      </c>
      <c r="B287" s="72" t="s">
        <v>324</v>
      </c>
      <c r="C287" s="72" t="s">
        <v>339</v>
      </c>
      <c r="D287" s="73"/>
      <c r="E287" s="73"/>
      <c r="F287" s="73"/>
      <c r="H287" s="74"/>
    </row>
    <row r="288" spans="1:8" ht="14.25" hidden="1" customHeight="1" x14ac:dyDescent="0.25">
      <c r="A288" s="71" t="s">
        <v>355</v>
      </c>
      <c r="B288" s="72" t="s">
        <v>324</v>
      </c>
      <c r="C288" s="72" t="s">
        <v>339</v>
      </c>
      <c r="D288" s="73"/>
      <c r="E288" s="73"/>
      <c r="F288" s="73"/>
      <c r="H288" s="74"/>
    </row>
    <row r="289" spans="1:8" ht="14.25" hidden="1" customHeight="1" x14ac:dyDescent="0.25">
      <c r="A289" s="71" t="s">
        <v>356</v>
      </c>
      <c r="B289" s="72" t="s">
        <v>324</v>
      </c>
      <c r="C289" s="72" t="s">
        <v>339</v>
      </c>
      <c r="D289" s="73"/>
      <c r="E289" s="73"/>
      <c r="F289" s="73"/>
      <c r="H289" s="74"/>
    </row>
    <row r="290" spans="1:8" ht="14.25" hidden="1" customHeight="1" x14ac:dyDescent="0.25">
      <c r="A290" s="71" t="s">
        <v>357</v>
      </c>
      <c r="B290" s="72" t="s">
        <v>324</v>
      </c>
      <c r="C290" s="72" t="s">
        <v>339</v>
      </c>
      <c r="D290" s="73"/>
      <c r="E290" s="73"/>
      <c r="F290" s="73"/>
      <c r="H290" s="74"/>
    </row>
    <row r="291" spans="1:8" s="58" customFormat="1" ht="18" hidden="1" customHeight="1" x14ac:dyDescent="0.2">
      <c r="A291" s="77" t="s">
        <v>359</v>
      </c>
      <c r="B291" s="78" t="s">
        <v>324</v>
      </c>
      <c r="C291" s="78" t="s">
        <v>317</v>
      </c>
      <c r="D291" s="80">
        <f>SUM(D292:D301)</f>
        <v>0</v>
      </c>
      <c r="E291" s="80">
        <f t="shared" ref="E291:F291" si="34">SUM(E292:E301)</f>
        <v>0</v>
      </c>
      <c r="F291" s="80">
        <f t="shared" si="34"/>
        <v>0</v>
      </c>
      <c r="G291" s="81"/>
      <c r="H291" s="81"/>
    </row>
    <row r="292" spans="1:8" s="76" customFormat="1" hidden="1" x14ac:dyDescent="0.25">
      <c r="A292" s="71" t="s">
        <v>360</v>
      </c>
      <c r="B292" s="72" t="s">
        <v>324</v>
      </c>
      <c r="C292" s="72" t="s">
        <v>317</v>
      </c>
      <c r="D292" s="73"/>
      <c r="E292" s="73"/>
      <c r="F292" s="73"/>
      <c r="G292" s="63"/>
      <c r="H292" s="74"/>
    </row>
    <row r="293" spans="1:8" ht="14.25" hidden="1" customHeight="1" x14ac:dyDescent="0.25">
      <c r="A293" s="71" t="s">
        <v>362</v>
      </c>
      <c r="B293" s="72" t="s">
        <v>324</v>
      </c>
      <c r="C293" s="72" t="s">
        <v>317</v>
      </c>
      <c r="D293" s="73"/>
      <c r="E293" s="73"/>
      <c r="F293" s="73"/>
      <c r="H293" s="74"/>
    </row>
    <row r="294" spans="1:8" ht="14.25" hidden="1" customHeight="1" x14ac:dyDescent="0.25">
      <c r="A294" s="71" t="s">
        <v>363</v>
      </c>
      <c r="B294" s="72" t="s">
        <v>324</v>
      </c>
      <c r="C294" s="72" t="s">
        <v>317</v>
      </c>
      <c r="D294" s="73"/>
      <c r="E294" s="73"/>
      <c r="F294" s="73"/>
      <c r="H294" s="74"/>
    </row>
    <row r="295" spans="1:8" ht="14.25" hidden="1" customHeight="1" x14ac:dyDescent="0.25">
      <c r="A295" s="71" t="s">
        <v>364</v>
      </c>
      <c r="B295" s="72" t="s">
        <v>324</v>
      </c>
      <c r="C295" s="72" t="s">
        <v>317</v>
      </c>
      <c r="D295" s="73"/>
      <c r="E295" s="73"/>
      <c r="F295" s="73"/>
      <c r="H295" s="74"/>
    </row>
    <row r="296" spans="1:8" ht="14.25" hidden="1" customHeight="1" x14ac:dyDescent="0.25">
      <c r="A296" s="71" t="s">
        <v>365</v>
      </c>
      <c r="B296" s="72" t="s">
        <v>324</v>
      </c>
      <c r="C296" s="72" t="s">
        <v>317</v>
      </c>
      <c r="D296" s="73"/>
      <c r="E296" s="73"/>
      <c r="F296" s="73"/>
      <c r="H296" s="74"/>
    </row>
    <row r="297" spans="1:8" ht="14.25" hidden="1" customHeight="1" x14ac:dyDescent="0.25">
      <c r="A297" s="71" t="s">
        <v>366</v>
      </c>
      <c r="B297" s="72" t="s">
        <v>324</v>
      </c>
      <c r="C297" s="72" t="s">
        <v>317</v>
      </c>
      <c r="D297" s="73"/>
      <c r="E297" s="73"/>
      <c r="F297" s="73"/>
      <c r="H297" s="74"/>
    </row>
    <row r="298" spans="1:8" ht="14.25" hidden="1" customHeight="1" x14ac:dyDescent="0.25">
      <c r="A298" s="71" t="s">
        <v>367</v>
      </c>
      <c r="B298" s="72" t="s">
        <v>324</v>
      </c>
      <c r="C298" s="72" t="s">
        <v>317</v>
      </c>
      <c r="D298" s="73"/>
      <c r="E298" s="73"/>
      <c r="F298" s="73"/>
      <c r="H298" s="74"/>
    </row>
    <row r="299" spans="1:8" ht="14.25" hidden="1" customHeight="1" x14ac:dyDescent="0.25">
      <c r="A299" s="71" t="s">
        <v>368</v>
      </c>
      <c r="B299" s="72" t="s">
        <v>324</v>
      </c>
      <c r="C299" s="72" t="s">
        <v>317</v>
      </c>
      <c r="D299" s="73"/>
      <c r="E299" s="73"/>
      <c r="F299" s="73"/>
      <c r="H299" s="74"/>
    </row>
    <row r="300" spans="1:8" ht="14.25" hidden="1" customHeight="1" x14ac:dyDescent="0.25">
      <c r="A300" s="71" t="s">
        <v>369</v>
      </c>
      <c r="B300" s="72" t="s">
        <v>324</v>
      </c>
      <c r="C300" s="72" t="s">
        <v>317</v>
      </c>
      <c r="D300" s="73"/>
      <c r="E300" s="73"/>
      <c r="F300" s="73"/>
      <c r="H300" s="74"/>
    </row>
    <row r="301" spans="1:8" ht="14.25" hidden="1" customHeight="1" x14ac:dyDescent="0.25">
      <c r="A301" s="71" t="s">
        <v>370</v>
      </c>
      <c r="B301" s="72" t="s">
        <v>324</v>
      </c>
      <c r="C301" s="72" t="s">
        <v>317</v>
      </c>
      <c r="D301" s="73"/>
      <c r="E301" s="73"/>
      <c r="F301" s="73"/>
      <c r="H301" s="74"/>
    </row>
    <row r="302" spans="1:8" hidden="1" x14ac:dyDescent="0.25">
      <c r="A302" s="77" t="s">
        <v>371</v>
      </c>
      <c r="B302" s="78" t="s">
        <v>372</v>
      </c>
      <c r="C302" s="78" t="s">
        <v>373</v>
      </c>
      <c r="D302" s="79"/>
      <c r="E302" s="79"/>
      <c r="F302" s="79"/>
      <c r="H302" s="74"/>
    </row>
    <row r="303" spans="1:8" s="76" customFormat="1" hidden="1" x14ac:dyDescent="0.25">
      <c r="A303" s="71" t="s">
        <v>374</v>
      </c>
      <c r="B303" s="72" t="s">
        <v>376</v>
      </c>
      <c r="C303" s="72" t="s">
        <v>377</v>
      </c>
      <c r="D303" s="73"/>
      <c r="E303" s="73"/>
      <c r="F303" s="73"/>
      <c r="G303" s="75"/>
      <c r="H303" s="75"/>
    </row>
    <row r="304" spans="1:8" s="76" customFormat="1" hidden="1" x14ac:dyDescent="0.25">
      <c r="A304" s="71" t="s">
        <v>378</v>
      </c>
      <c r="B304" s="72" t="s">
        <v>379</v>
      </c>
      <c r="C304" s="72" t="s">
        <v>380</v>
      </c>
      <c r="D304" s="73"/>
      <c r="E304" s="73"/>
      <c r="F304" s="73"/>
      <c r="H304" s="75"/>
    </row>
    <row r="305" spans="1:8" ht="15" hidden="1" customHeight="1" x14ac:dyDescent="0.25">
      <c r="A305" s="71" t="s">
        <v>381</v>
      </c>
      <c r="B305" s="72" t="s">
        <v>383</v>
      </c>
      <c r="C305" s="72" t="s">
        <v>377</v>
      </c>
      <c r="D305" s="73"/>
      <c r="E305" s="73"/>
      <c r="F305" s="73"/>
      <c r="G305" s="74"/>
      <c r="H305" s="74"/>
    </row>
    <row r="306" spans="1:8" hidden="1" x14ac:dyDescent="0.25">
      <c r="A306" s="71" t="s">
        <v>384</v>
      </c>
      <c r="B306" s="72" t="s">
        <v>383</v>
      </c>
      <c r="C306" s="72" t="s">
        <v>377</v>
      </c>
      <c r="D306" s="73"/>
      <c r="E306" s="73"/>
      <c r="F306" s="73"/>
      <c r="G306" s="74"/>
      <c r="H306" s="74"/>
    </row>
    <row r="307" spans="1:8" s="76" customFormat="1" hidden="1" x14ac:dyDescent="0.25">
      <c r="A307" s="82" t="s">
        <v>385</v>
      </c>
      <c r="B307" s="83" t="s">
        <v>324</v>
      </c>
      <c r="C307" s="72" t="s">
        <v>386</v>
      </c>
      <c r="D307" s="73"/>
      <c r="E307" s="73"/>
      <c r="F307" s="73"/>
      <c r="G307" s="75"/>
      <c r="H307" s="75"/>
    </row>
    <row r="308" spans="1:8" s="58" customFormat="1" ht="28.5" x14ac:dyDescent="0.2">
      <c r="A308" s="77" t="s">
        <v>387</v>
      </c>
      <c r="B308" s="78" t="s">
        <v>324</v>
      </c>
      <c r="C308" s="78" t="s">
        <v>388</v>
      </c>
      <c r="D308" s="80">
        <f>SUM(D309:D314)</f>
        <v>120190.1</v>
      </c>
      <c r="E308" s="80">
        <f t="shared" ref="E308:F308" si="35">SUM(E309:E314)</f>
        <v>0</v>
      </c>
      <c r="F308" s="80">
        <f t="shared" si="35"/>
        <v>0</v>
      </c>
      <c r="G308" s="81"/>
      <c r="H308" s="81"/>
    </row>
    <row r="309" spans="1:8" s="76" customFormat="1" ht="15" customHeight="1" x14ac:dyDescent="0.25">
      <c r="A309" s="82" t="s">
        <v>461</v>
      </c>
      <c r="B309" s="83" t="s">
        <v>324</v>
      </c>
      <c r="C309" s="72" t="s">
        <v>463</v>
      </c>
      <c r="D309" s="73"/>
      <c r="E309" s="73"/>
      <c r="F309" s="73"/>
      <c r="G309" s="75"/>
      <c r="H309" s="75"/>
    </row>
    <row r="310" spans="1:8" s="76" customFormat="1" ht="15" customHeight="1" x14ac:dyDescent="0.25">
      <c r="A310" s="82" t="s">
        <v>462</v>
      </c>
      <c r="B310" s="83" t="s">
        <v>324</v>
      </c>
      <c r="C310" s="72" t="s">
        <v>464</v>
      </c>
      <c r="D310" s="73">
        <f>190.1+120000</f>
        <v>120190.1</v>
      </c>
      <c r="E310" s="73"/>
      <c r="F310" s="73"/>
      <c r="G310" s="75"/>
      <c r="H310" s="75"/>
    </row>
    <row r="311" spans="1:8" s="76" customFormat="1" ht="15" customHeight="1" x14ac:dyDescent="0.25">
      <c r="A311" s="82" t="s">
        <v>389</v>
      </c>
      <c r="B311" s="83" t="s">
        <v>324</v>
      </c>
      <c r="C311" s="72" t="s">
        <v>390</v>
      </c>
      <c r="D311" s="73"/>
      <c r="E311" s="73"/>
      <c r="F311" s="73"/>
      <c r="G311" s="75"/>
      <c r="H311" s="75"/>
    </row>
    <row r="312" spans="1:8" s="76" customFormat="1" ht="15" customHeight="1" x14ac:dyDescent="0.25">
      <c r="A312" s="82" t="s">
        <v>480</v>
      </c>
      <c r="B312" s="83" t="s">
        <v>324</v>
      </c>
      <c r="C312" s="72" t="s">
        <v>509</v>
      </c>
      <c r="D312" s="73"/>
      <c r="E312" s="73"/>
      <c r="F312" s="73"/>
      <c r="G312" s="75"/>
      <c r="H312" s="75"/>
    </row>
    <row r="313" spans="1:8" s="76" customFormat="1" ht="15" customHeight="1" x14ac:dyDescent="0.25">
      <c r="A313" s="82" t="s">
        <v>393</v>
      </c>
      <c r="B313" s="83" t="s">
        <v>324</v>
      </c>
      <c r="C313" s="72" t="s">
        <v>392</v>
      </c>
      <c r="D313" s="73"/>
      <c r="E313" s="73"/>
      <c r="F313" s="73"/>
      <c r="G313" s="75"/>
      <c r="H313" s="75"/>
    </row>
    <row r="314" spans="1:8" s="76" customFormat="1" ht="15" customHeight="1" x14ac:dyDescent="0.25">
      <c r="A314" s="82" t="s">
        <v>394</v>
      </c>
      <c r="B314" s="83" t="s">
        <v>324</v>
      </c>
      <c r="C314" s="72" t="s">
        <v>392</v>
      </c>
      <c r="D314" s="73"/>
      <c r="E314" s="73"/>
      <c r="F314" s="73"/>
      <c r="G314" s="75"/>
      <c r="H314" s="75"/>
    </row>
    <row r="315" spans="1:8" s="58" customFormat="1" ht="14.25" x14ac:dyDescent="0.2">
      <c r="A315" s="116" t="s">
        <v>417</v>
      </c>
      <c r="B315" s="116"/>
      <c r="C315" s="116"/>
      <c r="D315" s="297">
        <f>SUM(D316,D317,D318,D319,D320,D321,D322,D329,D327,D345,D356,D357,D358,D359,D360,D361,D362,D326,D328)</f>
        <v>6769429.6500000004</v>
      </c>
      <c r="E315" s="297">
        <f t="shared" ref="E315:F315" si="36">SUM(E316,E317,E318,E319,E320,E321,E322,E329,E327,E345,E356,E357,E358,E359,E360,E361,E362,E326,E328)</f>
        <v>0</v>
      </c>
      <c r="F315" s="297">
        <f t="shared" si="36"/>
        <v>0</v>
      </c>
    </row>
    <row r="316" spans="1:8" hidden="1" x14ac:dyDescent="0.25">
      <c r="A316" s="71" t="s">
        <v>306</v>
      </c>
      <c r="B316" s="72" t="s">
        <v>308</v>
      </c>
      <c r="C316" s="72" t="s">
        <v>309</v>
      </c>
      <c r="D316" s="73"/>
      <c r="E316" s="73"/>
      <c r="F316" s="73"/>
      <c r="G316" s="74"/>
    </row>
    <row r="317" spans="1:8" hidden="1" x14ac:dyDescent="0.25">
      <c r="A317" s="71" t="s">
        <v>310</v>
      </c>
      <c r="B317" s="72" t="s">
        <v>308</v>
      </c>
      <c r="C317" s="72" t="s">
        <v>311</v>
      </c>
      <c r="D317" s="73"/>
      <c r="E317" s="73"/>
      <c r="F317" s="73"/>
      <c r="G317" s="74"/>
    </row>
    <row r="318" spans="1:8" s="76" customFormat="1" hidden="1" x14ac:dyDescent="0.25">
      <c r="A318" s="71" t="s">
        <v>312</v>
      </c>
      <c r="B318" s="72" t="s">
        <v>315</v>
      </c>
      <c r="C318" s="72" t="s">
        <v>311</v>
      </c>
      <c r="D318" s="73"/>
      <c r="E318" s="73"/>
      <c r="F318" s="73"/>
      <c r="G318" s="75"/>
      <c r="H318" s="75"/>
    </row>
    <row r="319" spans="1:8" s="76" customFormat="1" hidden="1" x14ac:dyDescent="0.25">
      <c r="A319" s="71" t="s">
        <v>316</v>
      </c>
      <c r="B319" s="72" t="s">
        <v>315</v>
      </c>
      <c r="C319" s="72" t="s">
        <v>317</v>
      </c>
      <c r="D319" s="73"/>
      <c r="E319" s="73"/>
      <c r="F319" s="73"/>
      <c r="G319" s="75"/>
      <c r="H319" s="75"/>
    </row>
    <row r="320" spans="1:8" s="76" customFormat="1" hidden="1" x14ac:dyDescent="0.25">
      <c r="A320" s="71" t="s">
        <v>318</v>
      </c>
      <c r="B320" s="72" t="s">
        <v>315</v>
      </c>
      <c r="C320" s="72" t="s">
        <v>311</v>
      </c>
      <c r="D320" s="73"/>
      <c r="E320" s="73"/>
      <c r="F320" s="73"/>
      <c r="G320" s="75"/>
      <c r="H320" s="75"/>
    </row>
    <row r="321" spans="1:8" hidden="1" x14ac:dyDescent="0.25">
      <c r="A321" s="71" t="s">
        <v>319</v>
      </c>
      <c r="B321" s="72" t="s">
        <v>321</v>
      </c>
      <c r="C321" s="72" t="s">
        <v>322</v>
      </c>
      <c r="D321" s="73"/>
      <c r="E321" s="73"/>
      <c r="F321" s="73"/>
      <c r="G321" s="74"/>
    </row>
    <row r="322" spans="1:8" s="58" customFormat="1" ht="14.25" hidden="1" x14ac:dyDescent="0.2">
      <c r="A322" s="77" t="s">
        <v>323</v>
      </c>
      <c r="B322" s="78" t="s">
        <v>324</v>
      </c>
      <c r="C322" s="78" t="s">
        <v>325</v>
      </c>
      <c r="D322" s="79">
        <f>SUM(D323:D324)</f>
        <v>0</v>
      </c>
      <c r="E322" s="79">
        <f t="shared" ref="E322:F322" si="37">SUM(E323:E324)</f>
        <v>0</v>
      </c>
      <c r="F322" s="79">
        <f t="shared" si="37"/>
        <v>0</v>
      </c>
      <c r="G322" s="81"/>
    </row>
    <row r="323" spans="1:8" ht="30" hidden="1" x14ac:dyDescent="0.25">
      <c r="A323" s="71" t="s">
        <v>326</v>
      </c>
      <c r="B323" s="72" t="s">
        <v>324</v>
      </c>
      <c r="C323" s="72" t="s">
        <v>325</v>
      </c>
      <c r="D323" s="73"/>
      <c r="E323" s="73"/>
      <c r="F323" s="73"/>
      <c r="G323" s="74"/>
      <c r="H323" s="74"/>
    </row>
    <row r="324" spans="1:8" s="76" customFormat="1" hidden="1" x14ac:dyDescent="0.25">
      <c r="A324" s="71" t="s">
        <v>328</v>
      </c>
      <c r="B324" s="72" t="s">
        <v>324</v>
      </c>
      <c r="C324" s="72" t="s">
        <v>325</v>
      </c>
      <c r="D324" s="73"/>
      <c r="E324" s="73"/>
      <c r="F324" s="73"/>
      <c r="G324" s="75"/>
      <c r="H324" s="75"/>
    </row>
    <row r="325" spans="1:8" s="76" customFormat="1" hidden="1" x14ac:dyDescent="0.25">
      <c r="A325" s="71" t="s">
        <v>329</v>
      </c>
      <c r="B325" s="72" t="s">
        <v>324</v>
      </c>
      <c r="C325" s="72" t="s">
        <v>330</v>
      </c>
      <c r="D325" s="73"/>
      <c r="E325" s="73"/>
      <c r="F325" s="73"/>
      <c r="H325" s="75"/>
    </row>
    <row r="326" spans="1:8" hidden="1" x14ac:dyDescent="0.25">
      <c r="A326" s="71" t="s">
        <v>331</v>
      </c>
      <c r="B326" s="72" t="s">
        <v>324</v>
      </c>
      <c r="C326" s="72" t="s">
        <v>333</v>
      </c>
      <c r="D326" s="73"/>
      <c r="E326" s="73"/>
      <c r="F326" s="73"/>
      <c r="G326" s="74"/>
      <c r="H326" s="74"/>
    </row>
    <row r="327" spans="1:8" hidden="1" x14ac:dyDescent="0.25">
      <c r="A327" s="82" t="s">
        <v>334</v>
      </c>
      <c r="B327" s="83" t="s">
        <v>324</v>
      </c>
      <c r="C327" s="72" t="s">
        <v>333</v>
      </c>
      <c r="D327" s="73"/>
      <c r="E327" s="73"/>
      <c r="F327" s="73"/>
      <c r="G327" s="76"/>
      <c r="H327" s="75"/>
    </row>
    <row r="328" spans="1:8" s="76" customFormat="1" hidden="1" x14ac:dyDescent="0.25">
      <c r="A328" s="82" t="s">
        <v>336</v>
      </c>
      <c r="B328" s="83" t="s">
        <v>324</v>
      </c>
      <c r="C328" s="72" t="s">
        <v>337</v>
      </c>
      <c r="D328" s="73"/>
      <c r="E328" s="73"/>
      <c r="F328" s="73"/>
      <c r="G328" s="75"/>
      <c r="H328" s="75"/>
    </row>
    <row r="329" spans="1:8" s="58" customFormat="1" ht="18" customHeight="1" x14ac:dyDescent="0.2">
      <c r="A329" s="77" t="s">
        <v>338</v>
      </c>
      <c r="B329" s="78" t="s">
        <v>324</v>
      </c>
      <c r="C329" s="78" t="s">
        <v>339</v>
      </c>
      <c r="D329" s="80">
        <f>SUM(D330:D344)</f>
        <v>7260</v>
      </c>
      <c r="E329" s="80">
        <f t="shared" ref="E329:F329" si="38">SUM(E330:E344)</f>
        <v>0</v>
      </c>
      <c r="F329" s="80">
        <f t="shared" si="38"/>
        <v>0</v>
      </c>
      <c r="G329" s="81"/>
      <c r="H329" s="81"/>
    </row>
    <row r="330" spans="1:8" ht="30" x14ac:dyDescent="0.25">
      <c r="A330" s="71" t="s">
        <v>340</v>
      </c>
      <c r="B330" s="72" t="s">
        <v>324</v>
      </c>
      <c r="C330" s="72" t="s">
        <v>339</v>
      </c>
      <c r="D330" s="73"/>
      <c r="E330" s="73"/>
      <c r="F330" s="73"/>
      <c r="G330" s="74"/>
      <c r="H330" s="74"/>
    </row>
    <row r="331" spans="1:8" s="84" customFormat="1" ht="15" customHeight="1" x14ac:dyDescent="0.25">
      <c r="A331" s="71" t="s">
        <v>342</v>
      </c>
      <c r="B331" s="72" t="s">
        <v>324</v>
      </c>
      <c r="C331" s="72" t="s">
        <v>339</v>
      </c>
      <c r="D331" s="73"/>
      <c r="E331" s="73"/>
      <c r="F331" s="73"/>
      <c r="H331" s="85"/>
    </row>
    <row r="332" spans="1:8" ht="30" x14ac:dyDescent="0.25">
      <c r="A332" s="71" t="s">
        <v>344</v>
      </c>
      <c r="B332" s="72" t="s">
        <v>324</v>
      </c>
      <c r="C332" s="72" t="s">
        <v>339</v>
      </c>
      <c r="D332" s="73"/>
      <c r="E332" s="73"/>
      <c r="F332" s="73"/>
      <c r="G332" s="74"/>
      <c r="H332" s="74"/>
    </row>
    <row r="333" spans="1:8" ht="15" customHeight="1" x14ac:dyDescent="0.25">
      <c r="A333" s="71" t="s">
        <v>346</v>
      </c>
      <c r="B333" s="72" t="s">
        <v>324</v>
      </c>
      <c r="C333" s="72" t="s">
        <v>339</v>
      </c>
      <c r="D333" s="73"/>
      <c r="E333" s="73"/>
      <c r="F333" s="73"/>
      <c r="G333" s="74"/>
      <c r="H333" s="74"/>
    </row>
    <row r="334" spans="1:8" ht="30" x14ac:dyDescent="0.25">
      <c r="A334" s="71" t="s">
        <v>347</v>
      </c>
      <c r="B334" s="72" t="s">
        <v>324</v>
      </c>
      <c r="C334" s="72" t="s">
        <v>339</v>
      </c>
      <c r="D334" s="73"/>
      <c r="E334" s="73"/>
      <c r="F334" s="73"/>
      <c r="H334" s="74"/>
    </row>
    <row r="335" spans="1:8" ht="14.25" customHeight="1" x14ac:dyDescent="0.25">
      <c r="A335" s="71" t="s">
        <v>348</v>
      </c>
      <c r="B335" s="72" t="s">
        <v>324</v>
      </c>
      <c r="C335" s="72" t="s">
        <v>339</v>
      </c>
      <c r="D335" s="73"/>
      <c r="E335" s="73"/>
      <c r="F335" s="73"/>
      <c r="H335" s="74"/>
    </row>
    <row r="336" spans="1:8" ht="14.25" customHeight="1" x14ac:dyDescent="0.25">
      <c r="A336" s="71" t="s">
        <v>349</v>
      </c>
      <c r="B336" s="72" t="s">
        <v>324</v>
      </c>
      <c r="C336" s="72" t="s">
        <v>339</v>
      </c>
      <c r="D336" s="73"/>
      <c r="E336" s="73"/>
      <c r="F336" s="73"/>
      <c r="H336" s="74"/>
    </row>
    <row r="337" spans="1:8" ht="14.25" customHeight="1" x14ac:dyDescent="0.25">
      <c r="A337" s="71" t="s">
        <v>350</v>
      </c>
      <c r="B337" s="72" t="s">
        <v>324</v>
      </c>
      <c r="C337" s="72" t="s">
        <v>339</v>
      </c>
      <c r="D337" s="73"/>
      <c r="E337" s="73"/>
      <c r="F337" s="73"/>
      <c r="H337" s="74"/>
    </row>
    <row r="338" spans="1:8" ht="14.25" customHeight="1" x14ac:dyDescent="0.25">
      <c r="A338" s="71" t="s">
        <v>351</v>
      </c>
      <c r="B338" s="72" t="s">
        <v>324</v>
      </c>
      <c r="C338" s="72" t="s">
        <v>339</v>
      </c>
      <c r="D338" s="73"/>
      <c r="E338" s="73"/>
      <c r="F338" s="73"/>
      <c r="H338" s="74"/>
    </row>
    <row r="339" spans="1:8" ht="14.25" customHeight="1" x14ac:dyDescent="0.25">
      <c r="A339" s="71" t="s">
        <v>352</v>
      </c>
      <c r="B339" s="72" t="s">
        <v>324</v>
      </c>
      <c r="C339" s="72" t="s">
        <v>339</v>
      </c>
      <c r="D339" s="73"/>
      <c r="E339" s="73"/>
      <c r="F339" s="73"/>
      <c r="H339" s="74"/>
    </row>
    <row r="340" spans="1:8" ht="14.25" customHeight="1" x14ac:dyDescent="0.25">
      <c r="A340" s="71" t="s">
        <v>353</v>
      </c>
      <c r="B340" s="72" t="s">
        <v>324</v>
      </c>
      <c r="C340" s="72" t="s">
        <v>339</v>
      </c>
      <c r="D340" s="73">
        <v>5460</v>
      </c>
      <c r="E340" s="73"/>
      <c r="F340" s="73"/>
      <c r="H340" s="74"/>
    </row>
    <row r="341" spans="1:8" ht="14.25" customHeight="1" x14ac:dyDescent="0.25">
      <c r="A341" s="71" t="s">
        <v>354</v>
      </c>
      <c r="B341" s="72" t="s">
        <v>324</v>
      </c>
      <c r="C341" s="72" t="s">
        <v>339</v>
      </c>
      <c r="D341" s="73"/>
      <c r="E341" s="73"/>
      <c r="F341" s="73"/>
      <c r="H341" s="74"/>
    </row>
    <row r="342" spans="1:8" ht="14.25" customHeight="1" x14ac:dyDescent="0.25">
      <c r="A342" s="71" t="s">
        <v>355</v>
      </c>
      <c r="B342" s="72" t="s">
        <v>324</v>
      </c>
      <c r="C342" s="72" t="s">
        <v>339</v>
      </c>
      <c r="D342" s="73"/>
      <c r="E342" s="73"/>
      <c r="F342" s="73"/>
      <c r="H342" s="74"/>
    </row>
    <row r="343" spans="1:8" ht="14.25" customHeight="1" x14ac:dyDescent="0.25">
      <c r="A343" s="71" t="s">
        <v>356</v>
      </c>
      <c r="B343" s="72" t="s">
        <v>324</v>
      </c>
      <c r="C343" s="72" t="s">
        <v>339</v>
      </c>
      <c r="D343" s="73"/>
      <c r="E343" s="73"/>
      <c r="F343" s="73"/>
      <c r="H343" s="74"/>
    </row>
    <row r="344" spans="1:8" ht="14.25" customHeight="1" x14ac:dyDescent="0.25">
      <c r="A344" s="71" t="s">
        <v>357</v>
      </c>
      <c r="B344" s="72" t="s">
        <v>324</v>
      </c>
      <c r="C344" s="72" t="s">
        <v>339</v>
      </c>
      <c r="D344" s="73">
        <v>1800</v>
      </c>
      <c r="E344" s="73"/>
      <c r="F344" s="73"/>
      <c r="H344" s="74"/>
    </row>
    <row r="345" spans="1:8" s="58" customFormat="1" ht="18" customHeight="1" x14ac:dyDescent="0.2">
      <c r="A345" s="77" t="s">
        <v>359</v>
      </c>
      <c r="B345" s="78" t="s">
        <v>324</v>
      </c>
      <c r="C345" s="78" t="s">
        <v>317</v>
      </c>
      <c r="D345" s="80">
        <f>SUM(D346:D355)</f>
        <v>92371</v>
      </c>
      <c r="E345" s="80">
        <f t="shared" ref="E345:F345" si="39">SUM(E346:E355)</f>
        <v>0</v>
      </c>
      <c r="F345" s="80">
        <f t="shared" si="39"/>
        <v>0</v>
      </c>
      <c r="G345" s="81"/>
      <c r="H345" s="81"/>
    </row>
    <row r="346" spans="1:8" s="76" customFormat="1" x14ac:dyDescent="0.25">
      <c r="A346" s="71" t="s">
        <v>360</v>
      </c>
      <c r="B346" s="72" t="s">
        <v>324</v>
      </c>
      <c r="C346" s="72" t="s">
        <v>317</v>
      </c>
      <c r="D346" s="73"/>
      <c r="E346" s="73"/>
      <c r="F346" s="73"/>
      <c r="G346" s="63"/>
      <c r="H346" s="74"/>
    </row>
    <row r="347" spans="1:8" ht="14.25" customHeight="1" x14ac:dyDescent="0.25">
      <c r="A347" s="71" t="s">
        <v>362</v>
      </c>
      <c r="B347" s="72" t="s">
        <v>324</v>
      </c>
      <c r="C347" s="72" t="s">
        <v>317</v>
      </c>
      <c r="D347" s="73"/>
      <c r="E347" s="73"/>
      <c r="F347" s="73"/>
      <c r="H347" s="74"/>
    </row>
    <row r="348" spans="1:8" ht="14.25" customHeight="1" x14ac:dyDescent="0.25">
      <c r="A348" s="71" t="s">
        <v>363</v>
      </c>
      <c r="B348" s="72" t="s">
        <v>324</v>
      </c>
      <c r="C348" s="72" t="s">
        <v>317</v>
      </c>
      <c r="D348" s="73"/>
      <c r="E348" s="73"/>
      <c r="F348" s="73"/>
      <c r="H348" s="74"/>
    </row>
    <row r="349" spans="1:8" ht="14.25" customHeight="1" x14ac:dyDescent="0.25">
      <c r="A349" s="71" t="s">
        <v>364</v>
      </c>
      <c r="B349" s="72" t="s">
        <v>324</v>
      </c>
      <c r="C349" s="72" t="s">
        <v>317</v>
      </c>
      <c r="D349" s="73"/>
      <c r="E349" s="73"/>
      <c r="F349" s="73"/>
      <c r="H349" s="74"/>
    </row>
    <row r="350" spans="1:8" ht="14.25" customHeight="1" x14ac:dyDescent="0.25">
      <c r="A350" s="71" t="s">
        <v>454</v>
      </c>
      <c r="B350" s="72" t="s">
        <v>324</v>
      </c>
      <c r="C350" s="72" t="s">
        <v>317</v>
      </c>
      <c r="D350" s="73"/>
      <c r="E350" s="73"/>
      <c r="F350" s="73"/>
      <c r="H350" s="74"/>
    </row>
    <row r="351" spans="1:8" ht="14.25" customHeight="1" x14ac:dyDescent="0.25">
      <c r="A351" s="71" t="s">
        <v>455</v>
      </c>
      <c r="B351" s="72" t="s">
        <v>324</v>
      </c>
      <c r="C351" s="72" t="s">
        <v>317</v>
      </c>
      <c r="D351" s="73">
        <f>79771-1800</f>
        <v>77971</v>
      </c>
      <c r="E351" s="73"/>
      <c r="F351" s="73"/>
      <c r="H351" s="74"/>
    </row>
    <row r="352" spans="1:8" ht="14.25" customHeight="1" x14ac:dyDescent="0.25">
      <c r="A352" s="71" t="s">
        <v>367</v>
      </c>
      <c r="B352" s="72" t="s">
        <v>324</v>
      </c>
      <c r="C352" s="72" t="s">
        <v>317</v>
      </c>
      <c r="D352" s="73"/>
      <c r="E352" s="73"/>
      <c r="F352" s="73"/>
      <c r="H352" s="74"/>
    </row>
    <row r="353" spans="1:8" ht="14.25" customHeight="1" x14ac:dyDescent="0.25">
      <c r="A353" s="71" t="s">
        <v>368</v>
      </c>
      <c r="B353" s="72" t="s">
        <v>324</v>
      </c>
      <c r="C353" s="72" t="s">
        <v>317</v>
      </c>
      <c r="D353" s="73"/>
      <c r="E353" s="73"/>
      <c r="F353" s="73"/>
      <c r="H353" s="74"/>
    </row>
    <row r="354" spans="1:8" ht="14.25" customHeight="1" x14ac:dyDescent="0.25">
      <c r="A354" s="71" t="s">
        <v>460</v>
      </c>
      <c r="B354" s="72" t="s">
        <v>324</v>
      </c>
      <c r="C354" s="72" t="s">
        <v>317</v>
      </c>
      <c r="D354" s="73">
        <v>14400</v>
      </c>
      <c r="E354" s="73"/>
      <c r="F354" s="73"/>
      <c r="H354" s="74"/>
    </row>
    <row r="355" spans="1:8" ht="14.25" customHeight="1" x14ac:dyDescent="0.25">
      <c r="A355" s="71" t="s">
        <v>370</v>
      </c>
      <c r="B355" s="72" t="s">
        <v>324</v>
      </c>
      <c r="C355" s="72" t="s">
        <v>317</v>
      </c>
      <c r="D355" s="73"/>
      <c r="E355" s="73"/>
      <c r="F355" s="73"/>
      <c r="H355" s="74"/>
    </row>
    <row r="356" spans="1:8" hidden="1" x14ac:dyDescent="0.25">
      <c r="A356" s="77" t="s">
        <v>371</v>
      </c>
      <c r="B356" s="78" t="s">
        <v>372</v>
      </c>
      <c r="C356" s="78" t="s">
        <v>373</v>
      </c>
      <c r="D356" s="79"/>
      <c r="E356" s="79"/>
      <c r="F356" s="79"/>
      <c r="H356" s="74"/>
    </row>
    <row r="357" spans="1:8" s="76" customFormat="1" hidden="1" x14ac:dyDescent="0.25">
      <c r="A357" s="71" t="s">
        <v>374</v>
      </c>
      <c r="B357" s="72" t="s">
        <v>376</v>
      </c>
      <c r="C357" s="72" t="s">
        <v>377</v>
      </c>
      <c r="D357" s="73"/>
      <c r="E357" s="73"/>
      <c r="F357" s="73"/>
      <c r="G357" s="75"/>
      <c r="H357" s="75"/>
    </row>
    <row r="358" spans="1:8" s="76" customFormat="1" hidden="1" x14ac:dyDescent="0.25">
      <c r="A358" s="71" t="s">
        <v>378</v>
      </c>
      <c r="B358" s="72" t="s">
        <v>379</v>
      </c>
      <c r="C358" s="72" t="s">
        <v>380</v>
      </c>
      <c r="D358" s="73"/>
      <c r="E358" s="73"/>
      <c r="F358" s="73"/>
      <c r="H358" s="75"/>
    </row>
    <row r="359" spans="1:8" ht="15" hidden="1" customHeight="1" x14ac:dyDescent="0.25">
      <c r="A359" s="71" t="s">
        <v>381</v>
      </c>
      <c r="B359" s="72" t="s">
        <v>383</v>
      </c>
      <c r="C359" s="72" t="s">
        <v>377</v>
      </c>
      <c r="D359" s="73"/>
      <c r="E359" s="73"/>
      <c r="F359" s="73"/>
      <c r="G359" s="74"/>
      <c r="H359" s="74"/>
    </row>
    <row r="360" spans="1:8" hidden="1" x14ac:dyDescent="0.25">
      <c r="A360" s="71" t="s">
        <v>384</v>
      </c>
      <c r="B360" s="72" t="s">
        <v>383</v>
      </c>
      <c r="C360" s="72" t="s">
        <v>377</v>
      </c>
      <c r="D360" s="73"/>
      <c r="E360" s="73"/>
      <c r="F360" s="73"/>
      <c r="G360" s="74"/>
      <c r="H360" s="74"/>
    </row>
    <row r="361" spans="1:8" s="76" customFormat="1" x14ac:dyDescent="0.25">
      <c r="A361" s="150" t="s">
        <v>385</v>
      </c>
      <c r="B361" s="151" t="s">
        <v>324</v>
      </c>
      <c r="C361" s="78" t="s">
        <v>386</v>
      </c>
      <c r="D361" s="79">
        <v>382.65</v>
      </c>
      <c r="E361" s="79"/>
      <c r="F361" s="79"/>
      <c r="G361" s="75"/>
      <c r="H361" s="75"/>
    </row>
    <row r="362" spans="1:8" s="58" customFormat="1" ht="28.5" x14ac:dyDescent="0.2">
      <c r="A362" s="77" t="s">
        <v>387</v>
      </c>
      <c r="B362" s="78" t="s">
        <v>324</v>
      </c>
      <c r="C362" s="78" t="s">
        <v>388</v>
      </c>
      <c r="D362" s="80">
        <f>SUM(D363:D368)</f>
        <v>6669416</v>
      </c>
      <c r="E362" s="80">
        <f t="shared" ref="E362:F362" si="40">SUM(E363:E368)</f>
        <v>0</v>
      </c>
      <c r="F362" s="80">
        <f t="shared" si="40"/>
        <v>0</v>
      </c>
      <c r="G362" s="81"/>
      <c r="H362" s="81"/>
    </row>
    <row r="363" spans="1:8" s="76" customFormat="1" ht="15" customHeight="1" x14ac:dyDescent="0.25">
      <c r="A363" s="82" t="s">
        <v>461</v>
      </c>
      <c r="B363" s="83" t="s">
        <v>324</v>
      </c>
      <c r="C363" s="72" t="s">
        <v>463</v>
      </c>
      <c r="D363" s="73"/>
      <c r="E363" s="73"/>
      <c r="F363" s="73"/>
      <c r="G363" s="75"/>
      <c r="H363" s="75"/>
    </row>
    <row r="364" spans="1:8" s="76" customFormat="1" ht="15" customHeight="1" x14ac:dyDescent="0.25">
      <c r="A364" s="82" t="s">
        <v>462</v>
      </c>
      <c r="B364" s="83" t="s">
        <v>324</v>
      </c>
      <c r="C364" s="72" t="s">
        <v>464</v>
      </c>
      <c r="D364" s="73">
        <f>602430.6+5684908</f>
        <v>6287338.5999999996</v>
      </c>
      <c r="E364" s="73"/>
      <c r="F364" s="73"/>
      <c r="G364" s="75"/>
      <c r="H364" s="75"/>
    </row>
    <row r="365" spans="1:8" s="76" customFormat="1" ht="15" customHeight="1" x14ac:dyDescent="0.25">
      <c r="A365" s="82" t="s">
        <v>389</v>
      </c>
      <c r="B365" s="83" t="s">
        <v>324</v>
      </c>
      <c r="C365" s="72" t="s">
        <v>390</v>
      </c>
      <c r="D365" s="73"/>
      <c r="E365" s="73"/>
      <c r="F365" s="73"/>
      <c r="G365" s="75"/>
      <c r="H365" s="75"/>
    </row>
    <row r="366" spans="1:8" s="76" customFormat="1" ht="15" customHeight="1" x14ac:dyDescent="0.25">
      <c r="A366" s="82" t="s">
        <v>480</v>
      </c>
      <c r="B366" s="83" t="s">
        <v>324</v>
      </c>
      <c r="C366" s="72" t="s">
        <v>509</v>
      </c>
      <c r="D366" s="73">
        <v>542</v>
      </c>
      <c r="E366" s="73"/>
      <c r="F366" s="73"/>
      <c r="G366" s="75"/>
      <c r="H366" s="75"/>
    </row>
    <row r="367" spans="1:8" s="76" customFormat="1" ht="15" customHeight="1" x14ac:dyDescent="0.25">
      <c r="A367" s="82" t="s">
        <v>393</v>
      </c>
      <c r="B367" s="83" t="s">
        <v>324</v>
      </c>
      <c r="C367" s="72" t="s">
        <v>392</v>
      </c>
      <c r="D367" s="73">
        <f>357170+30750.05-6384.65</f>
        <v>381535.39999999997</v>
      </c>
      <c r="E367" s="73"/>
      <c r="F367" s="73"/>
      <c r="G367" s="75"/>
      <c r="H367" s="75"/>
    </row>
    <row r="368" spans="1:8" s="76" customFormat="1" ht="15" customHeight="1" x14ac:dyDescent="0.25">
      <c r="A368" s="82" t="s">
        <v>394</v>
      </c>
      <c r="B368" s="83" t="s">
        <v>324</v>
      </c>
      <c r="C368" s="72" t="s">
        <v>392</v>
      </c>
      <c r="D368" s="73"/>
      <c r="E368" s="73"/>
      <c r="F368" s="73"/>
      <c r="G368" s="75"/>
      <c r="H368" s="75"/>
    </row>
    <row r="369" spans="1:8" s="58" customFormat="1" ht="14.25" hidden="1" x14ac:dyDescent="0.2">
      <c r="A369" s="93" t="s">
        <v>418</v>
      </c>
      <c r="B369" s="87"/>
      <c r="C369" s="87"/>
      <c r="D369" s="79">
        <f>SUM(D370,D371,D372,D373,D374,D375,D376,D383,D381,D399,D410,D411,D412,D413,D414,D415,D416,D380,D382)</f>
        <v>0</v>
      </c>
      <c r="E369" s="79">
        <f t="shared" ref="E369:F369" si="41">SUM(E370,E371,E372,E373,E374,E375,E376,E383,E381,E399,E410,E411,E412,E413,E414,E415,E416,E380,E382)</f>
        <v>0</v>
      </c>
      <c r="F369" s="79">
        <f t="shared" si="41"/>
        <v>0</v>
      </c>
    </row>
    <row r="370" spans="1:8" hidden="1" x14ac:dyDescent="0.25">
      <c r="A370" s="71" t="s">
        <v>306</v>
      </c>
      <c r="B370" s="72" t="s">
        <v>308</v>
      </c>
      <c r="C370" s="72" t="s">
        <v>309</v>
      </c>
      <c r="D370" s="73"/>
      <c r="E370" s="73"/>
      <c r="F370" s="73"/>
      <c r="G370" s="74"/>
    </row>
    <row r="371" spans="1:8" hidden="1" x14ac:dyDescent="0.25">
      <c r="A371" s="71" t="s">
        <v>310</v>
      </c>
      <c r="B371" s="72" t="s">
        <v>308</v>
      </c>
      <c r="C371" s="72" t="s">
        <v>311</v>
      </c>
      <c r="D371" s="73"/>
      <c r="E371" s="73"/>
      <c r="F371" s="73"/>
      <c r="G371" s="74"/>
    </row>
    <row r="372" spans="1:8" s="76" customFormat="1" hidden="1" x14ac:dyDescent="0.25">
      <c r="A372" s="71" t="s">
        <v>312</v>
      </c>
      <c r="B372" s="72" t="s">
        <v>315</v>
      </c>
      <c r="C372" s="72" t="s">
        <v>311</v>
      </c>
      <c r="D372" s="73"/>
      <c r="E372" s="73"/>
      <c r="F372" s="73"/>
      <c r="G372" s="75"/>
      <c r="H372" s="75"/>
    </row>
    <row r="373" spans="1:8" s="76" customFormat="1" hidden="1" x14ac:dyDescent="0.25">
      <c r="A373" s="71" t="s">
        <v>316</v>
      </c>
      <c r="B373" s="72" t="s">
        <v>315</v>
      </c>
      <c r="C373" s="72" t="s">
        <v>317</v>
      </c>
      <c r="D373" s="73"/>
      <c r="E373" s="73"/>
      <c r="F373" s="73"/>
      <c r="G373" s="75"/>
      <c r="H373" s="75"/>
    </row>
    <row r="374" spans="1:8" s="76" customFormat="1" hidden="1" x14ac:dyDescent="0.25">
      <c r="A374" s="71" t="s">
        <v>318</v>
      </c>
      <c r="B374" s="72" t="s">
        <v>315</v>
      </c>
      <c r="C374" s="72" t="s">
        <v>311</v>
      </c>
      <c r="D374" s="73"/>
      <c r="E374" s="73"/>
      <c r="F374" s="73"/>
      <c r="G374" s="75"/>
      <c r="H374" s="75"/>
    </row>
    <row r="375" spans="1:8" hidden="1" x14ac:dyDescent="0.25">
      <c r="A375" s="71" t="s">
        <v>319</v>
      </c>
      <c r="B375" s="72" t="s">
        <v>321</v>
      </c>
      <c r="C375" s="72" t="s">
        <v>322</v>
      </c>
      <c r="D375" s="73"/>
      <c r="E375" s="73"/>
      <c r="F375" s="73"/>
      <c r="G375" s="74"/>
    </row>
    <row r="376" spans="1:8" s="58" customFormat="1" ht="14.25" hidden="1" x14ac:dyDescent="0.2">
      <c r="A376" s="77" t="s">
        <v>323</v>
      </c>
      <c r="B376" s="78" t="s">
        <v>324</v>
      </c>
      <c r="C376" s="78" t="s">
        <v>325</v>
      </c>
      <c r="D376" s="79">
        <f>SUM(D377:D378)</f>
        <v>0</v>
      </c>
      <c r="E376" s="79">
        <f t="shared" ref="E376:F376" si="42">SUM(E377:E378)</f>
        <v>0</v>
      </c>
      <c r="F376" s="79">
        <f t="shared" si="42"/>
        <v>0</v>
      </c>
      <c r="G376" s="81"/>
    </row>
    <row r="377" spans="1:8" ht="30" hidden="1" x14ac:dyDescent="0.25">
      <c r="A377" s="71" t="s">
        <v>326</v>
      </c>
      <c r="B377" s="72" t="s">
        <v>324</v>
      </c>
      <c r="C377" s="72" t="s">
        <v>325</v>
      </c>
      <c r="D377" s="73"/>
      <c r="E377" s="73"/>
      <c r="F377" s="73"/>
      <c r="G377" s="74"/>
      <c r="H377" s="74"/>
    </row>
    <row r="378" spans="1:8" s="76" customFormat="1" hidden="1" x14ac:dyDescent="0.25">
      <c r="A378" s="71" t="s">
        <v>328</v>
      </c>
      <c r="B378" s="72" t="s">
        <v>324</v>
      </c>
      <c r="C378" s="72" t="s">
        <v>325</v>
      </c>
      <c r="D378" s="73"/>
      <c r="E378" s="73"/>
      <c r="F378" s="73"/>
      <c r="G378" s="75"/>
      <c r="H378" s="75"/>
    </row>
    <row r="379" spans="1:8" s="76" customFormat="1" hidden="1" x14ac:dyDescent="0.25">
      <c r="A379" s="71" t="s">
        <v>329</v>
      </c>
      <c r="B379" s="72" t="s">
        <v>324</v>
      </c>
      <c r="C379" s="72" t="s">
        <v>330</v>
      </c>
      <c r="D379" s="73"/>
      <c r="E379" s="73"/>
      <c r="F379" s="73"/>
      <c r="H379" s="75"/>
    </row>
    <row r="380" spans="1:8" hidden="1" x14ac:dyDescent="0.25">
      <c r="A380" s="71" t="s">
        <v>331</v>
      </c>
      <c r="B380" s="72" t="s">
        <v>324</v>
      </c>
      <c r="C380" s="72" t="s">
        <v>333</v>
      </c>
      <c r="D380" s="73"/>
      <c r="E380" s="73"/>
      <c r="F380" s="73"/>
      <c r="G380" s="74"/>
      <c r="H380" s="74"/>
    </row>
    <row r="381" spans="1:8" hidden="1" x14ac:dyDescent="0.25">
      <c r="A381" s="82" t="s">
        <v>334</v>
      </c>
      <c r="B381" s="83" t="s">
        <v>324</v>
      </c>
      <c r="C381" s="72" t="s">
        <v>333</v>
      </c>
      <c r="D381" s="73"/>
      <c r="E381" s="73"/>
      <c r="F381" s="73"/>
      <c r="G381" s="76"/>
      <c r="H381" s="75"/>
    </row>
    <row r="382" spans="1:8" s="76" customFormat="1" hidden="1" x14ac:dyDescent="0.25">
      <c r="A382" s="82" t="s">
        <v>336</v>
      </c>
      <c r="B382" s="83" t="s">
        <v>324</v>
      </c>
      <c r="C382" s="72" t="s">
        <v>337</v>
      </c>
      <c r="D382" s="73"/>
      <c r="E382" s="73"/>
      <c r="F382" s="73"/>
      <c r="G382" s="75"/>
      <c r="H382" s="75"/>
    </row>
    <row r="383" spans="1:8" s="58" customFormat="1" ht="18" hidden="1" customHeight="1" x14ac:dyDescent="0.2">
      <c r="A383" s="77" t="s">
        <v>338</v>
      </c>
      <c r="B383" s="78" t="s">
        <v>324</v>
      </c>
      <c r="C383" s="78" t="s">
        <v>339</v>
      </c>
      <c r="D383" s="80">
        <f>SUM(D384:D398)</f>
        <v>0</v>
      </c>
      <c r="E383" s="80">
        <f t="shared" ref="E383:F383" si="43">SUM(E384:E398)</f>
        <v>0</v>
      </c>
      <c r="F383" s="80">
        <f t="shared" si="43"/>
        <v>0</v>
      </c>
      <c r="G383" s="81"/>
      <c r="H383" s="81"/>
    </row>
    <row r="384" spans="1:8" ht="30" hidden="1" x14ac:dyDescent="0.25">
      <c r="A384" s="71" t="s">
        <v>340</v>
      </c>
      <c r="B384" s="72" t="s">
        <v>324</v>
      </c>
      <c r="C384" s="72" t="s">
        <v>339</v>
      </c>
      <c r="D384" s="73"/>
      <c r="E384" s="73"/>
      <c r="F384" s="73"/>
      <c r="G384" s="74"/>
      <c r="H384" s="74"/>
    </row>
    <row r="385" spans="1:8" s="84" customFormat="1" ht="15" hidden="1" customHeight="1" x14ac:dyDescent="0.25">
      <c r="A385" s="71" t="s">
        <v>342</v>
      </c>
      <c r="B385" s="72" t="s">
        <v>324</v>
      </c>
      <c r="C385" s="72" t="s">
        <v>339</v>
      </c>
      <c r="D385" s="73"/>
      <c r="E385" s="73"/>
      <c r="F385" s="73"/>
      <c r="H385" s="85"/>
    </row>
    <row r="386" spans="1:8" ht="30" hidden="1" x14ac:dyDescent="0.25">
      <c r="A386" s="71" t="s">
        <v>344</v>
      </c>
      <c r="B386" s="72" t="s">
        <v>324</v>
      </c>
      <c r="C386" s="72" t="s">
        <v>339</v>
      </c>
      <c r="D386" s="73"/>
      <c r="E386" s="73"/>
      <c r="F386" s="73"/>
      <c r="G386" s="74"/>
      <c r="H386" s="74"/>
    </row>
    <row r="387" spans="1:8" ht="15" hidden="1" customHeight="1" x14ac:dyDescent="0.25">
      <c r="A387" s="71" t="s">
        <v>346</v>
      </c>
      <c r="B387" s="72" t="s">
        <v>324</v>
      </c>
      <c r="C387" s="72" t="s">
        <v>339</v>
      </c>
      <c r="D387" s="73"/>
      <c r="E387" s="73"/>
      <c r="F387" s="73"/>
      <c r="G387" s="74"/>
      <c r="H387" s="74"/>
    </row>
    <row r="388" spans="1:8" ht="30" hidden="1" x14ac:dyDescent="0.25">
      <c r="A388" s="71" t="s">
        <v>347</v>
      </c>
      <c r="B388" s="72" t="s">
        <v>324</v>
      </c>
      <c r="C388" s="72" t="s">
        <v>339</v>
      </c>
      <c r="D388" s="73"/>
      <c r="E388" s="73"/>
      <c r="F388" s="73"/>
      <c r="H388" s="74"/>
    </row>
    <row r="389" spans="1:8" ht="14.25" hidden="1" customHeight="1" x14ac:dyDescent="0.25">
      <c r="A389" s="71" t="s">
        <v>348</v>
      </c>
      <c r="B389" s="72" t="s">
        <v>324</v>
      </c>
      <c r="C389" s="72" t="s">
        <v>339</v>
      </c>
      <c r="D389" s="73"/>
      <c r="E389" s="73"/>
      <c r="F389" s="73"/>
      <c r="H389" s="74"/>
    </row>
    <row r="390" spans="1:8" ht="14.25" hidden="1" customHeight="1" x14ac:dyDescent="0.25">
      <c r="A390" s="71" t="s">
        <v>349</v>
      </c>
      <c r="B390" s="72" t="s">
        <v>324</v>
      </c>
      <c r="C390" s="72" t="s">
        <v>339</v>
      </c>
      <c r="D390" s="73"/>
      <c r="E390" s="73"/>
      <c r="F390" s="73"/>
      <c r="H390" s="74"/>
    </row>
    <row r="391" spans="1:8" ht="14.25" hidden="1" customHeight="1" x14ac:dyDescent="0.25">
      <c r="A391" s="71" t="s">
        <v>350</v>
      </c>
      <c r="B391" s="72" t="s">
        <v>324</v>
      </c>
      <c r="C391" s="72" t="s">
        <v>339</v>
      </c>
      <c r="D391" s="73"/>
      <c r="E391" s="73"/>
      <c r="F391" s="73"/>
      <c r="H391" s="74"/>
    </row>
    <row r="392" spans="1:8" ht="14.25" hidden="1" customHeight="1" x14ac:dyDescent="0.25">
      <c r="A392" s="71" t="s">
        <v>351</v>
      </c>
      <c r="B392" s="72" t="s">
        <v>324</v>
      </c>
      <c r="C392" s="72" t="s">
        <v>339</v>
      </c>
      <c r="D392" s="73"/>
      <c r="E392" s="73"/>
      <c r="F392" s="73"/>
      <c r="H392" s="74"/>
    </row>
    <row r="393" spans="1:8" ht="14.25" hidden="1" customHeight="1" x14ac:dyDescent="0.25">
      <c r="A393" s="71" t="s">
        <v>352</v>
      </c>
      <c r="B393" s="72" t="s">
        <v>324</v>
      </c>
      <c r="C393" s="72" t="s">
        <v>339</v>
      </c>
      <c r="D393" s="73"/>
      <c r="E393" s="73"/>
      <c r="F393" s="73"/>
      <c r="H393" s="74"/>
    </row>
    <row r="394" spans="1:8" ht="14.25" hidden="1" customHeight="1" x14ac:dyDescent="0.25">
      <c r="A394" s="71" t="s">
        <v>353</v>
      </c>
      <c r="B394" s="72" t="s">
        <v>324</v>
      </c>
      <c r="C394" s="72" t="s">
        <v>339</v>
      </c>
      <c r="D394" s="73"/>
      <c r="E394" s="73"/>
      <c r="F394" s="73"/>
      <c r="H394" s="74"/>
    </row>
    <row r="395" spans="1:8" ht="14.25" hidden="1" customHeight="1" x14ac:dyDescent="0.25">
      <c r="A395" s="71" t="s">
        <v>354</v>
      </c>
      <c r="B395" s="72" t="s">
        <v>324</v>
      </c>
      <c r="C395" s="72" t="s">
        <v>339</v>
      </c>
      <c r="D395" s="73"/>
      <c r="E395" s="73"/>
      <c r="F395" s="73"/>
      <c r="H395" s="74"/>
    </row>
    <row r="396" spans="1:8" ht="14.25" hidden="1" customHeight="1" x14ac:dyDescent="0.25">
      <c r="A396" s="71" t="s">
        <v>355</v>
      </c>
      <c r="B396" s="72" t="s">
        <v>324</v>
      </c>
      <c r="C396" s="72" t="s">
        <v>339</v>
      </c>
      <c r="D396" s="73"/>
      <c r="E396" s="73"/>
      <c r="F396" s="73"/>
      <c r="H396" s="74"/>
    </row>
    <row r="397" spans="1:8" ht="14.25" hidden="1" customHeight="1" x14ac:dyDescent="0.25">
      <c r="A397" s="71" t="s">
        <v>356</v>
      </c>
      <c r="B397" s="72" t="s">
        <v>324</v>
      </c>
      <c r="C397" s="72" t="s">
        <v>339</v>
      </c>
      <c r="D397" s="73"/>
      <c r="E397" s="73"/>
      <c r="F397" s="73"/>
      <c r="H397" s="74"/>
    </row>
    <row r="398" spans="1:8" ht="14.25" hidden="1" customHeight="1" x14ac:dyDescent="0.25">
      <c r="A398" s="71" t="s">
        <v>357</v>
      </c>
      <c r="B398" s="72" t="s">
        <v>324</v>
      </c>
      <c r="C398" s="72" t="s">
        <v>339</v>
      </c>
      <c r="D398" s="73"/>
      <c r="E398" s="73"/>
      <c r="F398" s="73"/>
      <c r="H398" s="74"/>
    </row>
    <row r="399" spans="1:8" s="58" customFormat="1" ht="18" hidden="1" customHeight="1" x14ac:dyDescent="0.2">
      <c r="A399" s="77" t="s">
        <v>359</v>
      </c>
      <c r="B399" s="78" t="s">
        <v>324</v>
      </c>
      <c r="C399" s="78" t="s">
        <v>317</v>
      </c>
      <c r="D399" s="80">
        <f>SUM(D400:D409)</f>
        <v>0</v>
      </c>
      <c r="E399" s="80">
        <f t="shared" ref="E399:F399" si="44">SUM(E400:E409)</f>
        <v>0</v>
      </c>
      <c r="F399" s="80">
        <f t="shared" si="44"/>
        <v>0</v>
      </c>
      <c r="G399" s="81"/>
      <c r="H399" s="81"/>
    </row>
    <row r="400" spans="1:8" s="76" customFormat="1" hidden="1" x14ac:dyDescent="0.25">
      <c r="A400" s="71" t="s">
        <v>360</v>
      </c>
      <c r="B400" s="72" t="s">
        <v>324</v>
      </c>
      <c r="C400" s="72" t="s">
        <v>317</v>
      </c>
      <c r="D400" s="73"/>
      <c r="E400" s="73"/>
      <c r="F400" s="73"/>
      <c r="G400" s="63"/>
      <c r="H400" s="74"/>
    </row>
    <row r="401" spans="1:8" ht="14.25" hidden="1" customHeight="1" x14ac:dyDescent="0.25">
      <c r="A401" s="71" t="s">
        <v>362</v>
      </c>
      <c r="B401" s="72" t="s">
        <v>324</v>
      </c>
      <c r="C401" s="72" t="s">
        <v>317</v>
      </c>
      <c r="D401" s="73"/>
      <c r="E401" s="73"/>
      <c r="F401" s="73"/>
      <c r="H401" s="74"/>
    </row>
    <row r="402" spans="1:8" ht="14.25" hidden="1" customHeight="1" x14ac:dyDescent="0.25">
      <c r="A402" s="71" t="s">
        <v>363</v>
      </c>
      <c r="B402" s="72" t="s">
        <v>324</v>
      </c>
      <c r="C402" s="72" t="s">
        <v>317</v>
      </c>
      <c r="D402" s="73"/>
      <c r="E402" s="73"/>
      <c r="F402" s="73"/>
      <c r="H402" s="74"/>
    </row>
    <row r="403" spans="1:8" ht="14.25" hidden="1" customHeight="1" x14ac:dyDescent="0.25">
      <c r="A403" s="71" t="s">
        <v>364</v>
      </c>
      <c r="B403" s="72" t="s">
        <v>324</v>
      </c>
      <c r="C403" s="72" t="s">
        <v>317</v>
      </c>
      <c r="D403" s="73"/>
      <c r="E403" s="73"/>
      <c r="F403" s="73"/>
      <c r="H403" s="74"/>
    </row>
    <row r="404" spans="1:8" ht="14.25" hidden="1" customHeight="1" x14ac:dyDescent="0.25">
      <c r="A404" s="71" t="s">
        <v>365</v>
      </c>
      <c r="B404" s="72" t="s">
        <v>324</v>
      </c>
      <c r="C404" s="72" t="s">
        <v>317</v>
      </c>
      <c r="D404" s="73"/>
      <c r="E404" s="73"/>
      <c r="F404" s="73"/>
      <c r="H404" s="74"/>
    </row>
    <row r="405" spans="1:8" ht="14.25" hidden="1" customHeight="1" x14ac:dyDescent="0.25">
      <c r="A405" s="71" t="s">
        <v>366</v>
      </c>
      <c r="B405" s="72" t="s">
        <v>324</v>
      </c>
      <c r="C405" s="72" t="s">
        <v>317</v>
      </c>
      <c r="D405" s="73"/>
      <c r="E405" s="73"/>
      <c r="F405" s="73"/>
      <c r="H405" s="74"/>
    </row>
    <row r="406" spans="1:8" ht="14.25" hidden="1" customHeight="1" x14ac:dyDescent="0.25">
      <c r="A406" s="71" t="s">
        <v>367</v>
      </c>
      <c r="B406" s="72" t="s">
        <v>324</v>
      </c>
      <c r="C406" s="72" t="s">
        <v>317</v>
      </c>
      <c r="D406" s="73"/>
      <c r="E406" s="73"/>
      <c r="F406" s="73"/>
      <c r="H406" s="74"/>
    </row>
    <row r="407" spans="1:8" ht="14.25" hidden="1" customHeight="1" x14ac:dyDescent="0.25">
      <c r="A407" s="71" t="s">
        <v>368</v>
      </c>
      <c r="B407" s="72" t="s">
        <v>324</v>
      </c>
      <c r="C407" s="72" t="s">
        <v>317</v>
      </c>
      <c r="D407" s="73"/>
      <c r="E407" s="73"/>
      <c r="F407" s="73"/>
      <c r="H407" s="74"/>
    </row>
    <row r="408" spans="1:8" ht="14.25" hidden="1" customHeight="1" x14ac:dyDescent="0.25">
      <c r="A408" s="71" t="s">
        <v>369</v>
      </c>
      <c r="B408" s="72" t="s">
        <v>324</v>
      </c>
      <c r="C408" s="72" t="s">
        <v>317</v>
      </c>
      <c r="D408" s="73"/>
      <c r="E408" s="73"/>
      <c r="F408" s="73"/>
      <c r="H408" s="74"/>
    </row>
    <row r="409" spans="1:8" ht="14.25" hidden="1" customHeight="1" x14ac:dyDescent="0.25">
      <c r="A409" s="71" t="s">
        <v>370</v>
      </c>
      <c r="B409" s="72" t="s">
        <v>324</v>
      </c>
      <c r="C409" s="72" t="s">
        <v>317</v>
      </c>
      <c r="D409" s="73"/>
      <c r="E409" s="73"/>
      <c r="F409" s="73"/>
      <c r="H409" s="74"/>
    </row>
    <row r="410" spans="1:8" hidden="1" x14ac:dyDescent="0.25">
      <c r="A410" s="77" t="s">
        <v>371</v>
      </c>
      <c r="B410" s="78" t="s">
        <v>372</v>
      </c>
      <c r="C410" s="78" t="s">
        <v>373</v>
      </c>
      <c r="D410" s="79"/>
      <c r="E410" s="79"/>
      <c r="F410" s="79"/>
      <c r="H410" s="74"/>
    </row>
    <row r="411" spans="1:8" s="76" customFormat="1" hidden="1" x14ac:dyDescent="0.25">
      <c r="A411" s="71" t="s">
        <v>374</v>
      </c>
      <c r="B411" s="72" t="s">
        <v>376</v>
      </c>
      <c r="C411" s="72" t="s">
        <v>377</v>
      </c>
      <c r="D411" s="73"/>
      <c r="E411" s="73"/>
      <c r="F411" s="73"/>
      <c r="G411" s="75"/>
      <c r="H411" s="75"/>
    </row>
    <row r="412" spans="1:8" s="76" customFormat="1" hidden="1" x14ac:dyDescent="0.25">
      <c r="A412" s="71" t="s">
        <v>378</v>
      </c>
      <c r="B412" s="72" t="s">
        <v>379</v>
      </c>
      <c r="C412" s="72" t="s">
        <v>380</v>
      </c>
      <c r="D412" s="73"/>
      <c r="E412" s="73"/>
      <c r="F412" s="73"/>
      <c r="H412" s="75"/>
    </row>
    <row r="413" spans="1:8" ht="15" hidden="1" customHeight="1" x14ac:dyDescent="0.25">
      <c r="A413" s="71" t="s">
        <v>381</v>
      </c>
      <c r="B413" s="72" t="s">
        <v>383</v>
      </c>
      <c r="C413" s="72" t="s">
        <v>377</v>
      </c>
      <c r="D413" s="73"/>
      <c r="E413" s="73"/>
      <c r="F413" s="73"/>
      <c r="G413" s="74"/>
      <c r="H413" s="74"/>
    </row>
    <row r="414" spans="1:8" hidden="1" x14ac:dyDescent="0.25">
      <c r="A414" s="71" t="s">
        <v>384</v>
      </c>
      <c r="B414" s="72" t="s">
        <v>383</v>
      </c>
      <c r="C414" s="72" t="s">
        <v>377</v>
      </c>
      <c r="D414" s="73"/>
      <c r="E414" s="73"/>
      <c r="F414" s="73"/>
      <c r="G414" s="74"/>
      <c r="H414" s="74"/>
    </row>
    <row r="415" spans="1:8" s="76" customFormat="1" hidden="1" x14ac:dyDescent="0.25">
      <c r="A415" s="82" t="s">
        <v>385</v>
      </c>
      <c r="B415" s="83" t="s">
        <v>324</v>
      </c>
      <c r="C415" s="72" t="s">
        <v>386</v>
      </c>
      <c r="D415" s="73"/>
      <c r="E415" s="73"/>
      <c r="F415" s="73"/>
      <c r="G415" s="75"/>
      <c r="H415" s="75"/>
    </row>
    <row r="416" spans="1:8" s="58" customFormat="1" ht="28.5" hidden="1" x14ac:dyDescent="0.2">
      <c r="A416" s="77" t="s">
        <v>387</v>
      </c>
      <c r="B416" s="78" t="s">
        <v>324</v>
      </c>
      <c r="C416" s="78" t="s">
        <v>388</v>
      </c>
      <c r="D416" s="80">
        <f>SUM(D417:D422)</f>
        <v>0</v>
      </c>
      <c r="E416" s="80">
        <f t="shared" ref="E416:F416" si="45">SUM(E417:E422)</f>
        <v>0</v>
      </c>
      <c r="F416" s="80">
        <f t="shared" si="45"/>
        <v>0</v>
      </c>
      <c r="G416" s="81"/>
      <c r="H416" s="81"/>
    </row>
    <row r="417" spans="1:8" s="76" customFormat="1" ht="15" hidden="1" customHeight="1" x14ac:dyDescent="0.25">
      <c r="A417" s="82" t="s">
        <v>461</v>
      </c>
      <c r="B417" s="83" t="s">
        <v>324</v>
      </c>
      <c r="C417" s="72" t="s">
        <v>463</v>
      </c>
      <c r="D417" s="73"/>
      <c r="E417" s="73"/>
      <c r="F417" s="73"/>
      <c r="G417" s="75"/>
      <c r="H417" s="75"/>
    </row>
    <row r="418" spans="1:8" s="76" customFormat="1" ht="15" hidden="1" customHeight="1" x14ac:dyDescent="0.25">
      <c r="A418" s="82" t="s">
        <v>462</v>
      </c>
      <c r="B418" s="83" t="s">
        <v>324</v>
      </c>
      <c r="C418" s="72" t="s">
        <v>464</v>
      </c>
      <c r="D418" s="73"/>
      <c r="E418" s="73"/>
      <c r="F418" s="73"/>
      <c r="G418" s="75"/>
      <c r="H418" s="75"/>
    </row>
    <row r="419" spans="1:8" s="76" customFormat="1" ht="15" hidden="1" customHeight="1" x14ac:dyDescent="0.25">
      <c r="A419" s="82" t="s">
        <v>389</v>
      </c>
      <c r="B419" s="83" t="s">
        <v>324</v>
      </c>
      <c r="C419" s="72" t="s">
        <v>390</v>
      </c>
      <c r="D419" s="73"/>
      <c r="E419" s="73"/>
      <c r="F419" s="73"/>
      <c r="G419" s="75"/>
      <c r="H419" s="75"/>
    </row>
    <row r="420" spans="1:8" s="76" customFormat="1" ht="15" hidden="1" customHeight="1" x14ac:dyDescent="0.25">
      <c r="A420" s="82" t="s">
        <v>391</v>
      </c>
      <c r="B420" s="83" t="s">
        <v>324</v>
      </c>
      <c r="C420" s="72" t="s">
        <v>392</v>
      </c>
      <c r="D420" s="73"/>
      <c r="E420" s="73"/>
      <c r="F420" s="73"/>
      <c r="G420" s="75"/>
      <c r="H420" s="75"/>
    </row>
    <row r="421" spans="1:8" s="76" customFormat="1" ht="15" hidden="1" customHeight="1" x14ac:dyDescent="0.25">
      <c r="A421" s="82" t="s">
        <v>393</v>
      </c>
      <c r="B421" s="83" t="s">
        <v>324</v>
      </c>
      <c r="C421" s="72" t="s">
        <v>392</v>
      </c>
      <c r="D421" s="73"/>
      <c r="E421" s="73"/>
      <c r="F421" s="73"/>
      <c r="G421" s="75"/>
      <c r="H421" s="75"/>
    </row>
    <row r="422" spans="1:8" s="76" customFormat="1" ht="15" hidden="1" customHeight="1" x14ac:dyDescent="0.25">
      <c r="A422" s="82" t="s">
        <v>394</v>
      </c>
      <c r="B422" s="83" t="s">
        <v>324</v>
      </c>
      <c r="C422" s="72" t="s">
        <v>392</v>
      </c>
      <c r="D422" s="73"/>
      <c r="E422" s="73"/>
      <c r="F422" s="73"/>
      <c r="G422" s="75"/>
      <c r="H422" s="75"/>
    </row>
    <row r="423" spans="1:8" s="58" customFormat="1" ht="14.25" hidden="1" x14ac:dyDescent="0.2">
      <c r="A423" s="93" t="s">
        <v>429</v>
      </c>
      <c r="B423" s="87"/>
      <c r="C423" s="87"/>
      <c r="D423" s="79">
        <f>SUM(D424,D425,D426,D427,D428,D429,D430,D437,D435,D453,D464,D465,D466,D467,D468,D469,D470,D434,D436)</f>
        <v>0</v>
      </c>
      <c r="E423" s="79">
        <f t="shared" ref="E423:F423" si="46">SUM(E424,E425,E426,E427,E428,E429,E430,E437,E435,E453,E464,E465,E466,E467,E468,E469,E470,E434,E436)</f>
        <v>0</v>
      </c>
      <c r="F423" s="79">
        <f t="shared" si="46"/>
        <v>0</v>
      </c>
    </row>
    <row r="424" spans="1:8" hidden="1" x14ac:dyDescent="0.25">
      <c r="A424" s="71" t="s">
        <v>306</v>
      </c>
      <c r="B424" s="72" t="s">
        <v>308</v>
      </c>
      <c r="C424" s="72" t="s">
        <v>309</v>
      </c>
      <c r="D424" s="73"/>
      <c r="E424" s="73"/>
      <c r="F424" s="73"/>
      <c r="G424" s="74"/>
    </row>
    <row r="425" spans="1:8" hidden="1" x14ac:dyDescent="0.25">
      <c r="A425" s="71" t="s">
        <v>310</v>
      </c>
      <c r="B425" s="72" t="s">
        <v>308</v>
      </c>
      <c r="C425" s="72" t="s">
        <v>311</v>
      </c>
      <c r="D425" s="73"/>
      <c r="E425" s="73"/>
      <c r="F425" s="73"/>
      <c r="G425" s="74"/>
    </row>
    <row r="426" spans="1:8" s="76" customFormat="1" hidden="1" x14ac:dyDescent="0.25">
      <c r="A426" s="71" t="s">
        <v>312</v>
      </c>
      <c r="B426" s="72" t="s">
        <v>315</v>
      </c>
      <c r="C426" s="72" t="s">
        <v>311</v>
      </c>
      <c r="D426" s="73"/>
      <c r="E426" s="73"/>
      <c r="F426" s="73"/>
      <c r="G426" s="75"/>
      <c r="H426" s="75"/>
    </row>
    <row r="427" spans="1:8" s="76" customFormat="1" hidden="1" x14ac:dyDescent="0.25">
      <c r="A427" s="71" t="s">
        <v>316</v>
      </c>
      <c r="B427" s="72" t="s">
        <v>315</v>
      </c>
      <c r="C427" s="72" t="s">
        <v>317</v>
      </c>
      <c r="D427" s="73"/>
      <c r="E427" s="73"/>
      <c r="F427" s="73"/>
      <c r="G427" s="75"/>
      <c r="H427" s="75"/>
    </row>
    <row r="428" spans="1:8" s="76" customFormat="1" hidden="1" x14ac:dyDescent="0.25">
      <c r="A428" s="71" t="s">
        <v>318</v>
      </c>
      <c r="B428" s="72" t="s">
        <v>315</v>
      </c>
      <c r="C428" s="72" t="s">
        <v>311</v>
      </c>
      <c r="D428" s="73"/>
      <c r="E428" s="73"/>
      <c r="F428" s="73"/>
      <c r="G428" s="75"/>
      <c r="H428" s="75"/>
    </row>
    <row r="429" spans="1:8" hidden="1" x14ac:dyDescent="0.25">
      <c r="A429" s="71" t="s">
        <v>319</v>
      </c>
      <c r="B429" s="72" t="s">
        <v>321</v>
      </c>
      <c r="C429" s="72" t="s">
        <v>322</v>
      </c>
      <c r="D429" s="73"/>
      <c r="E429" s="73"/>
      <c r="F429" s="73"/>
      <c r="G429" s="74"/>
    </row>
    <row r="430" spans="1:8" s="58" customFormat="1" ht="14.25" hidden="1" x14ac:dyDescent="0.2">
      <c r="A430" s="77" t="s">
        <v>323</v>
      </c>
      <c r="B430" s="78" t="s">
        <v>324</v>
      </c>
      <c r="C430" s="78" t="s">
        <v>325</v>
      </c>
      <c r="D430" s="79">
        <f>SUM(D431:D432)</f>
        <v>0</v>
      </c>
      <c r="E430" s="79">
        <f t="shared" ref="E430:F430" si="47">SUM(E431:E432)</f>
        <v>0</v>
      </c>
      <c r="F430" s="79">
        <f t="shared" si="47"/>
        <v>0</v>
      </c>
      <c r="G430" s="81"/>
    </row>
    <row r="431" spans="1:8" ht="30" hidden="1" x14ac:dyDescent="0.25">
      <c r="A431" s="71" t="s">
        <v>326</v>
      </c>
      <c r="B431" s="72" t="s">
        <v>324</v>
      </c>
      <c r="C431" s="72" t="s">
        <v>325</v>
      </c>
      <c r="D431" s="73"/>
      <c r="E431" s="73"/>
      <c r="F431" s="73"/>
      <c r="G431" s="74"/>
      <c r="H431" s="74"/>
    </row>
    <row r="432" spans="1:8" s="76" customFormat="1" hidden="1" x14ac:dyDescent="0.25">
      <c r="A432" s="71" t="s">
        <v>328</v>
      </c>
      <c r="B432" s="72" t="s">
        <v>324</v>
      </c>
      <c r="C432" s="72" t="s">
        <v>325</v>
      </c>
      <c r="D432" s="73"/>
      <c r="E432" s="73"/>
      <c r="F432" s="73"/>
      <c r="G432" s="75"/>
      <c r="H432" s="75"/>
    </row>
    <row r="433" spans="1:8" s="76" customFormat="1" hidden="1" x14ac:dyDescent="0.25">
      <c r="A433" s="71" t="s">
        <v>329</v>
      </c>
      <c r="B433" s="72" t="s">
        <v>324</v>
      </c>
      <c r="C433" s="72" t="s">
        <v>330</v>
      </c>
      <c r="D433" s="73"/>
      <c r="E433" s="73"/>
      <c r="F433" s="73"/>
      <c r="H433" s="75"/>
    </row>
    <row r="434" spans="1:8" hidden="1" x14ac:dyDescent="0.25">
      <c r="A434" s="71" t="s">
        <v>331</v>
      </c>
      <c r="B434" s="72" t="s">
        <v>324</v>
      </c>
      <c r="C434" s="72" t="s">
        <v>333</v>
      </c>
      <c r="D434" s="73"/>
      <c r="E434" s="73"/>
      <c r="F434" s="73"/>
      <c r="G434" s="74"/>
      <c r="H434" s="74"/>
    </row>
    <row r="435" spans="1:8" hidden="1" x14ac:dyDescent="0.25">
      <c r="A435" s="82" t="s">
        <v>334</v>
      </c>
      <c r="B435" s="83" t="s">
        <v>324</v>
      </c>
      <c r="C435" s="72" t="s">
        <v>333</v>
      </c>
      <c r="D435" s="73"/>
      <c r="E435" s="73"/>
      <c r="F435" s="73"/>
      <c r="G435" s="76"/>
      <c r="H435" s="75"/>
    </row>
    <row r="436" spans="1:8" s="76" customFormat="1" hidden="1" x14ac:dyDescent="0.25">
      <c r="A436" s="82" t="s">
        <v>336</v>
      </c>
      <c r="B436" s="83" t="s">
        <v>324</v>
      </c>
      <c r="C436" s="72" t="s">
        <v>337</v>
      </c>
      <c r="D436" s="73"/>
      <c r="E436" s="73"/>
      <c r="F436" s="73"/>
      <c r="G436" s="75"/>
      <c r="H436" s="75"/>
    </row>
    <row r="437" spans="1:8" s="58" customFormat="1" ht="18" hidden="1" customHeight="1" x14ac:dyDescent="0.2">
      <c r="A437" s="77" t="s">
        <v>338</v>
      </c>
      <c r="B437" s="78" t="s">
        <v>324</v>
      </c>
      <c r="C437" s="78" t="s">
        <v>339</v>
      </c>
      <c r="D437" s="80">
        <f>SUM(D438:D452)</f>
        <v>0</v>
      </c>
      <c r="E437" s="80">
        <f t="shared" ref="E437:F437" si="48">SUM(E438:E452)</f>
        <v>0</v>
      </c>
      <c r="F437" s="80">
        <f t="shared" si="48"/>
        <v>0</v>
      </c>
      <c r="G437" s="81"/>
      <c r="H437" s="81"/>
    </row>
    <row r="438" spans="1:8" ht="30" hidden="1" x14ac:dyDescent="0.25">
      <c r="A438" s="71" t="s">
        <v>340</v>
      </c>
      <c r="B438" s="72" t="s">
        <v>324</v>
      </c>
      <c r="C438" s="72" t="s">
        <v>339</v>
      </c>
      <c r="D438" s="73"/>
      <c r="E438" s="73"/>
      <c r="F438" s="73"/>
      <c r="G438" s="74"/>
      <c r="H438" s="74"/>
    </row>
    <row r="439" spans="1:8" s="84" customFormat="1" ht="15" hidden="1" customHeight="1" x14ac:dyDescent="0.25">
      <c r="A439" s="71" t="s">
        <v>342</v>
      </c>
      <c r="B439" s="72" t="s">
        <v>324</v>
      </c>
      <c r="C439" s="72" t="s">
        <v>339</v>
      </c>
      <c r="D439" s="73"/>
      <c r="E439" s="73"/>
      <c r="F439" s="73"/>
      <c r="H439" s="85"/>
    </row>
    <row r="440" spans="1:8" ht="30" hidden="1" x14ac:dyDescent="0.25">
      <c r="A440" s="71" t="s">
        <v>344</v>
      </c>
      <c r="B440" s="72" t="s">
        <v>324</v>
      </c>
      <c r="C440" s="72" t="s">
        <v>339</v>
      </c>
      <c r="D440" s="73"/>
      <c r="E440" s="73"/>
      <c r="F440" s="73"/>
      <c r="G440" s="74"/>
      <c r="H440" s="74"/>
    </row>
    <row r="441" spans="1:8" ht="15" hidden="1" customHeight="1" x14ac:dyDescent="0.25">
      <c r="A441" s="71" t="s">
        <v>346</v>
      </c>
      <c r="B441" s="72" t="s">
        <v>324</v>
      </c>
      <c r="C441" s="72" t="s">
        <v>339</v>
      </c>
      <c r="D441" s="73"/>
      <c r="E441" s="73"/>
      <c r="F441" s="73"/>
      <c r="G441" s="74"/>
      <c r="H441" s="74"/>
    </row>
    <row r="442" spans="1:8" ht="30" hidden="1" x14ac:dyDescent="0.25">
      <c r="A442" s="71" t="s">
        <v>347</v>
      </c>
      <c r="B442" s="72" t="s">
        <v>324</v>
      </c>
      <c r="C442" s="72" t="s">
        <v>339</v>
      </c>
      <c r="D442" s="73"/>
      <c r="E442" s="73"/>
      <c r="F442" s="73"/>
      <c r="H442" s="74"/>
    </row>
    <row r="443" spans="1:8" ht="14.25" hidden="1" customHeight="1" x14ac:dyDescent="0.25">
      <c r="A443" s="71" t="s">
        <v>348</v>
      </c>
      <c r="B443" s="72" t="s">
        <v>324</v>
      </c>
      <c r="C443" s="72" t="s">
        <v>339</v>
      </c>
      <c r="D443" s="73"/>
      <c r="E443" s="73"/>
      <c r="F443" s="73"/>
      <c r="H443" s="74"/>
    </row>
    <row r="444" spans="1:8" ht="14.25" hidden="1" customHeight="1" x14ac:dyDescent="0.25">
      <c r="A444" s="71" t="s">
        <v>349</v>
      </c>
      <c r="B444" s="72" t="s">
        <v>324</v>
      </c>
      <c r="C444" s="72" t="s">
        <v>339</v>
      </c>
      <c r="D444" s="73"/>
      <c r="E444" s="73"/>
      <c r="F444" s="73"/>
      <c r="H444" s="74"/>
    </row>
    <row r="445" spans="1:8" ht="14.25" hidden="1" customHeight="1" x14ac:dyDescent="0.25">
      <c r="A445" s="71" t="s">
        <v>350</v>
      </c>
      <c r="B445" s="72" t="s">
        <v>324</v>
      </c>
      <c r="C445" s="72" t="s">
        <v>339</v>
      </c>
      <c r="D445" s="73"/>
      <c r="E445" s="73"/>
      <c r="F445" s="73"/>
      <c r="H445" s="74"/>
    </row>
    <row r="446" spans="1:8" ht="14.25" hidden="1" customHeight="1" x14ac:dyDescent="0.25">
      <c r="A446" s="71" t="s">
        <v>351</v>
      </c>
      <c r="B446" s="72" t="s">
        <v>324</v>
      </c>
      <c r="C446" s="72" t="s">
        <v>339</v>
      </c>
      <c r="D446" s="73"/>
      <c r="E446" s="73"/>
      <c r="F446" s="73"/>
      <c r="H446" s="74"/>
    </row>
    <row r="447" spans="1:8" ht="14.25" hidden="1" customHeight="1" x14ac:dyDescent="0.25">
      <c r="A447" s="71" t="s">
        <v>352</v>
      </c>
      <c r="B447" s="72" t="s">
        <v>324</v>
      </c>
      <c r="C447" s="72" t="s">
        <v>339</v>
      </c>
      <c r="D447" s="73"/>
      <c r="E447" s="73"/>
      <c r="F447" s="73"/>
      <c r="H447" s="74"/>
    </row>
    <row r="448" spans="1:8" ht="14.25" hidden="1" customHeight="1" x14ac:dyDescent="0.25">
      <c r="A448" s="71" t="s">
        <v>353</v>
      </c>
      <c r="B448" s="72" t="s">
        <v>324</v>
      </c>
      <c r="C448" s="72" t="s">
        <v>339</v>
      </c>
      <c r="D448" s="73"/>
      <c r="E448" s="73"/>
      <c r="F448" s="73"/>
      <c r="H448" s="74"/>
    </row>
    <row r="449" spans="1:8" ht="14.25" hidden="1" customHeight="1" x14ac:dyDescent="0.25">
      <c r="A449" s="71" t="s">
        <v>354</v>
      </c>
      <c r="B449" s="72" t="s">
        <v>324</v>
      </c>
      <c r="C449" s="72" t="s">
        <v>339</v>
      </c>
      <c r="D449" s="73"/>
      <c r="E449" s="73"/>
      <c r="F449" s="73"/>
      <c r="H449" s="74"/>
    </row>
    <row r="450" spans="1:8" ht="14.25" hidden="1" customHeight="1" x14ac:dyDescent="0.25">
      <c r="A450" s="71" t="s">
        <v>355</v>
      </c>
      <c r="B450" s="72" t="s">
        <v>324</v>
      </c>
      <c r="C450" s="72" t="s">
        <v>339</v>
      </c>
      <c r="D450" s="73"/>
      <c r="E450" s="73"/>
      <c r="F450" s="73"/>
      <c r="H450" s="74"/>
    </row>
    <row r="451" spans="1:8" ht="14.25" hidden="1" customHeight="1" x14ac:dyDescent="0.25">
      <c r="A451" s="71" t="s">
        <v>356</v>
      </c>
      <c r="B451" s="72" t="s">
        <v>324</v>
      </c>
      <c r="C451" s="72" t="s">
        <v>339</v>
      </c>
      <c r="D451" s="73"/>
      <c r="E451" s="73"/>
      <c r="F451" s="73"/>
      <c r="H451" s="74"/>
    </row>
    <row r="452" spans="1:8" ht="14.25" hidden="1" customHeight="1" x14ac:dyDescent="0.25">
      <c r="A452" s="71" t="s">
        <v>357</v>
      </c>
      <c r="B452" s="72" t="s">
        <v>324</v>
      </c>
      <c r="C452" s="72" t="s">
        <v>339</v>
      </c>
      <c r="D452" s="73"/>
      <c r="E452" s="73"/>
      <c r="F452" s="73"/>
      <c r="H452" s="74"/>
    </row>
    <row r="453" spans="1:8" s="58" customFormat="1" ht="18" hidden="1" customHeight="1" x14ac:dyDescent="0.2">
      <c r="A453" s="77" t="s">
        <v>359</v>
      </c>
      <c r="B453" s="78" t="s">
        <v>324</v>
      </c>
      <c r="C453" s="78" t="s">
        <v>317</v>
      </c>
      <c r="D453" s="80">
        <f>SUM(D454:D463)</f>
        <v>0</v>
      </c>
      <c r="E453" s="80">
        <f t="shared" ref="E453:F453" si="49">SUM(E454:E463)</f>
        <v>0</v>
      </c>
      <c r="F453" s="80">
        <f t="shared" si="49"/>
        <v>0</v>
      </c>
      <c r="G453" s="81"/>
      <c r="H453" s="81"/>
    </row>
    <row r="454" spans="1:8" s="76" customFormat="1" hidden="1" x14ac:dyDescent="0.25">
      <c r="A454" s="71" t="s">
        <v>360</v>
      </c>
      <c r="B454" s="72" t="s">
        <v>324</v>
      </c>
      <c r="C454" s="72" t="s">
        <v>317</v>
      </c>
      <c r="D454" s="73"/>
      <c r="E454" s="73"/>
      <c r="F454" s="73"/>
      <c r="G454" s="63"/>
      <c r="H454" s="74"/>
    </row>
    <row r="455" spans="1:8" ht="14.25" hidden="1" customHeight="1" x14ac:dyDescent="0.25">
      <c r="A455" s="71" t="s">
        <v>362</v>
      </c>
      <c r="B455" s="72" t="s">
        <v>324</v>
      </c>
      <c r="C455" s="72" t="s">
        <v>317</v>
      </c>
      <c r="D455" s="73"/>
      <c r="E455" s="73"/>
      <c r="F455" s="73"/>
      <c r="H455" s="74"/>
    </row>
    <row r="456" spans="1:8" ht="14.25" hidden="1" customHeight="1" x14ac:dyDescent="0.25">
      <c r="A456" s="71" t="s">
        <v>363</v>
      </c>
      <c r="B456" s="72" t="s">
        <v>324</v>
      </c>
      <c r="C456" s="72" t="s">
        <v>317</v>
      </c>
      <c r="D456" s="73"/>
      <c r="E456" s="73"/>
      <c r="F456" s="73"/>
      <c r="H456" s="74"/>
    </row>
    <row r="457" spans="1:8" ht="14.25" hidden="1" customHeight="1" x14ac:dyDescent="0.25">
      <c r="A457" s="71" t="s">
        <v>364</v>
      </c>
      <c r="B457" s="72" t="s">
        <v>324</v>
      </c>
      <c r="C457" s="72" t="s">
        <v>317</v>
      </c>
      <c r="D457" s="73"/>
      <c r="E457" s="73"/>
      <c r="F457" s="73"/>
      <c r="H457" s="74"/>
    </row>
    <row r="458" spans="1:8" ht="14.25" hidden="1" customHeight="1" x14ac:dyDescent="0.25">
      <c r="A458" s="71" t="s">
        <v>365</v>
      </c>
      <c r="B458" s="72" t="s">
        <v>324</v>
      </c>
      <c r="C458" s="72" t="s">
        <v>317</v>
      </c>
      <c r="D458" s="73"/>
      <c r="E458" s="73"/>
      <c r="F458" s="73"/>
      <c r="H458" s="74"/>
    </row>
    <row r="459" spans="1:8" ht="14.25" hidden="1" customHeight="1" x14ac:dyDescent="0.25">
      <c r="A459" s="71" t="s">
        <v>366</v>
      </c>
      <c r="B459" s="72" t="s">
        <v>324</v>
      </c>
      <c r="C459" s="72" t="s">
        <v>317</v>
      </c>
      <c r="D459" s="73"/>
      <c r="E459" s="73"/>
      <c r="F459" s="73"/>
      <c r="H459" s="74"/>
    </row>
    <row r="460" spans="1:8" ht="14.25" hidden="1" customHeight="1" x14ac:dyDescent="0.25">
      <c r="A460" s="71" t="s">
        <v>367</v>
      </c>
      <c r="B460" s="72" t="s">
        <v>324</v>
      </c>
      <c r="C460" s="72" t="s">
        <v>317</v>
      </c>
      <c r="D460" s="73"/>
      <c r="E460" s="73"/>
      <c r="F460" s="73"/>
      <c r="H460" s="74"/>
    </row>
    <row r="461" spans="1:8" ht="14.25" hidden="1" customHeight="1" x14ac:dyDescent="0.25">
      <c r="A461" s="71" t="s">
        <v>368</v>
      </c>
      <c r="B461" s="72" t="s">
        <v>324</v>
      </c>
      <c r="C461" s="72" t="s">
        <v>317</v>
      </c>
      <c r="D461" s="73"/>
      <c r="E461" s="73"/>
      <c r="F461" s="73"/>
      <c r="H461" s="74"/>
    </row>
    <row r="462" spans="1:8" ht="14.25" hidden="1" customHeight="1" x14ac:dyDescent="0.25">
      <c r="A462" s="71" t="s">
        <v>369</v>
      </c>
      <c r="B462" s="72" t="s">
        <v>324</v>
      </c>
      <c r="C462" s="72" t="s">
        <v>317</v>
      </c>
      <c r="D462" s="73"/>
      <c r="E462" s="73"/>
      <c r="F462" s="73"/>
      <c r="H462" s="74"/>
    </row>
    <row r="463" spans="1:8" ht="14.25" hidden="1" customHeight="1" x14ac:dyDescent="0.25">
      <c r="A463" s="71" t="s">
        <v>370</v>
      </c>
      <c r="B463" s="72" t="s">
        <v>324</v>
      </c>
      <c r="C463" s="72" t="s">
        <v>317</v>
      </c>
      <c r="D463" s="73"/>
      <c r="E463" s="73"/>
      <c r="F463" s="73"/>
      <c r="H463" s="74"/>
    </row>
    <row r="464" spans="1:8" hidden="1" x14ac:dyDescent="0.25">
      <c r="A464" s="77" t="s">
        <v>371</v>
      </c>
      <c r="B464" s="78" t="s">
        <v>372</v>
      </c>
      <c r="C464" s="78" t="s">
        <v>373</v>
      </c>
      <c r="D464" s="79"/>
      <c r="E464" s="79"/>
      <c r="F464" s="79"/>
      <c r="H464" s="74"/>
    </row>
    <row r="465" spans="1:8" s="76" customFormat="1" hidden="1" x14ac:dyDescent="0.25">
      <c r="A465" s="71" t="s">
        <v>374</v>
      </c>
      <c r="B465" s="72" t="s">
        <v>376</v>
      </c>
      <c r="C465" s="72" t="s">
        <v>377</v>
      </c>
      <c r="D465" s="73"/>
      <c r="E465" s="73"/>
      <c r="F465" s="73"/>
      <c r="G465" s="75"/>
      <c r="H465" s="75"/>
    </row>
    <row r="466" spans="1:8" s="76" customFormat="1" hidden="1" x14ac:dyDescent="0.25">
      <c r="A466" s="71" t="s">
        <v>378</v>
      </c>
      <c r="B466" s="72" t="s">
        <v>379</v>
      </c>
      <c r="C466" s="72" t="s">
        <v>380</v>
      </c>
      <c r="D466" s="73"/>
      <c r="E466" s="73"/>
      <c r="F466" s="73"/>
      <c r="H466" s="75"/>
    </row>
    <row r="467" spans="1:8" ht="15" hidden="1" customHeight="1" x14ac:dyDescent="0.25">
      <c r="A467" s="71" t="s">
        <v>381</v>
      </c>
      <c r="B467" s="72" t="s">
        <v>383</v>
      </c>
      <c r="C467" s="72" t="s">
        <v>377</v>
      </c>
      <c r="D467" s="73"/>
      <c r="E467" s="73"/>
      <c r="F467" s="73"/>
      <c r="G467" s="74"/>
      <c r="H467" s="74"/>
    </row>
    <row r="468" spans="1:8" hidden="1" x14ac:dyDescent="0.25">
      <c r="A468" s="71" t="s">
        <v>384</v>
      </c>
      <c r="B468" s="72" t="s">
        <v>383</v>
      </c>
      <c r="C468" s="72" t="s">
        <v>377</v>
      </c>
      <c r="D468" s="73"/>
      <c r="E468" s="73"/>
      <c r="F468" s="73"/>
      <c r="G468" s="74"/>
      <c r="H468" s="74"/>
    </row>
    <row r="469" spans="1:8" s="76" customFormat="1" hidden="1" x14ac:dyDescent="0.25">
      <c r="A469" s="82" t="s">
        <v>385</v>
      </c>
      <c r="B469" s="83" t="s">
        <v>324</v>
      </c>
      <c r="C469" s="72" t="s">
        <v>386</v>
      </c>
      <c r="D469" s="73"/>
      <c r="E469" s="73"/>
      <c r="F469" s="73"/>
      <c r="G469" s="75"/>
      <c r="H469" s="75"/>
    </row>
    <row r="470" spans="1:8" s="58" customFormat="1" ht="28.5" hidden="1" x14ac:dyDescent="0.2">
      <c r="A470" s="77" t="s">
        <v>387</v>
      </c>
      <c r="B470" s="78" t="s">
        <v>324</v>
      </c>
      <c r="C470" s="78" t="s">
        <v>388</v>
      </c>
      <c r="D470" s="80">
        <f>SUM(D471:D476)</f>
        <v>0</v>
      </c>
      <c r="E470" s="80">
        <f t="shared" ref="E470:F470" si="50">SUM(E471:E476)</f>
        <v>0</v>
      </c>
      <c r="F470" s="80">
        <f t="shared" si="50"/>
        <v>0</v>
      </c>
      <c r="G470" s="81"/>
      <c r="H470" s="81"/>
    </row>
    <row r="471" spans="1:8" s="76" customFormat="1" ht="15" hidden="1" customHeight="1" x14ac:dyDescent="0.25">
      <c r="A471" s="82" t="s">
        <v>461</v>
      </c>
      <c r="B471" s="83" t="s">
        <v>324</v>
      </c>
      <c r="C471" s="72" t="s">
        <v>463</v>
      </c>
      <c r="D471" s="73"/>
      <c r="E471" s="73"/>
      <c r="F471" s="73"/>
      <c r="G471" s="75"/>
      <c r="H471" s="75"/>
    </row>
    <row r="472" spans="1:8" s="76" customFormat="1" ht="15" hidden="1" customHeight="1" x14ac:dyDescent="0.25">
      <c r="A472" s="82" t="s">
        <v>462</v>
      </c>
      <c r="B472" s="83" t="s">
        <v>324</v>
      </c>
      <c r="C472" s="72" t="s">
        <v>464</v>
      </c>
      <c r="D472" s="73"/>
      <c r="E472" s="73"/>
      <c r="F472" s="73"/>
      <c r="G472" s="75"/>
      <c r="H472" s="75"/>
    </row>
    <row r="473" spans="1:8" s="76" customFormat="1" ht="15" hidden="1" customHeight="1" x14ac:dyDescent="0.25">
      <c r="A473" s="82" t="s">
        <v>389</v>
      </c>
      <c r="B473" s="83" t="s">
        <v>324</v>
      </c>
      <c r="C473" s="72" t="s">
        <v>390</v>
      </c>
      <c r="D473" s="73"/>
      <c r="E473" s="73"/>
      <c r="F473" s="73"/>
      <c r="G473" s="75"/>
      <c r="H473" s="75"/>
    </row>
    <row r="474" spans="1:8" s="76" customFormat="1" ht="15" hidden="1" customHeight="1" x14ac:dyDescent="0.25">
      <c r="A474" s="82" t="s">
        <v>391</v>
      </c>
      <c r="B474" s="83" t="s">
        <v>324</v>
      </c>
      <c r="C474" s="72" t="s">
        <v>392</v>
      </c>
      <c r="D474" s="73"/>
      <c r="E474" s="73"/>
      <c r="F474" s="73"/>
      <c r="G474" s="75"/>
      <c r="H474" s="75"/>
    </row>
    <row r="475" spans="1:8" s="76" customFormat="1" ht="15" hidden="1" customHeight="1" x14ac:dyDescent="0.25">
      <c r="A475" s="82" t="s">
        <v>393</v>
      </c>
      <c r="B475" s="83" t="s">
        <v>324</v>
      </c>
      <c r="C475" s="72" t="s">
        <v>392</v>
      </c>
      <c r="D475" s="73"/>
      <c r="E475" s="73"/>
      <c r="F475" s="73"/>
      <c r="G475" s="75"/>
      <c r="H475" s="75"/>
    </row>
    <row r="476" spans="1:8" s="76" customFormat="1" ht="15" hidden="1" customHeight="1" x14ac:dyDescent="0.25">
      <c r="A476" s="82" t="s">
        <v>394</v>
      </c>
      <c r="B476" s="83" t="s">
        <v>324</v>
      </c>
      <c r="C476" s="72" t="s">
        <v>392</v>
      </c>
      <c r="D476" s="73"/>
      <c r="E476" s="73"/>
      <c r="F476" s="73"/>
      <c r="G476" s="75"/>
      <c r="H476" s="75"/>
    </row>
    <row r="477" spans="1:8" s="58" customFormat="1" ht="14.25" x14ac:dyDescent="0.2">
      <c r="A477" s="116" t="s">
        <v>419</v>
      </c>
      <c r="B477" s="116"/>
      <c r="C477" s="116"/>
      <c r="D477" s="297">
        <f>SUM(D478,D479,D480,D481,D482,D483,D484,D491,D489,D507,D518,D519,D520,D521,D522,D523,D524,D488,D490)</f>
        <v>305745.40999999997</v>
      </c>
      <c r="E477" s="297">
        <f t="shared" ref="E477:F477" si="51">SUM(E478,E479,E480,E481,E482,E483,E484,E491,E489,E507,E518,E519,E520,E521,E522,E523,E524,E488,E490)</f>
        <v>0</v>
      </c>
      <c r="F477" s="297">
        <f t="shared" si="51"/>
        <v>0</v>
      </c>
    </row>
    <row r="478" spans="1:8" hidden="1" x14ac:dyDescent="0.25">
      <c r="A478" s="71" t="s">
        <v>306</v>
      </c>
      <c r="B478" s="72" t="s">
        <v>308</v>
      </c>
      <c r="C478" s="72" t="s">
        <v>309</v>
      </c>
      <c r="D478" s="73"/>
      <c r="E478" s="73"/>
      <c r="F478" s="73"/>
      <c r="G478" s="74"/>
    </row>
    <row r="479" spans="1:8" hidden="1" x14ac:dyDescent="0.25">
      <c r="A479" s="71" t="s">
        <v>310</v>
      </c>
      <c r="B479" s="72" t="s">
        <v>308</v>
      </c>
      <c r="C479" s="72" t="s">
        <v>311</v>
      </c>
      <c r="D479" s="73"/>
      <c r="E479" s="73"/>
      <c r="F479" s="73"/>
      <c r="G479" s="74"/>
    </row>
    <row r="480" spans="1:8" s="76" customFormat="1" hidden="1" x14ac:dyDescent="0.25">
      <c r="A480" s="71" t="s">
        <v>312</v>
      </c>
      <c r="B480" s="72" t="s">
        <v>315</v>
      </c>
      <c r="C480" s="72" t="s">
        <v>311</v>
      </c>
      <c r="D480" s="73"/>
      <c r="E480" s="73"/>
      <c r="F480" s="73"/>
      <c r="G480" s="75"/>
      <c r="H480" s="75"/>
    </row>
    <row r="481" spans="1:8" s="76" customFormat="1" hidden="1" x14ac:dyDescent="0.25">
      <c r="A481" s="71" t="s">
        <v>316</v>
      </c>
      <c r="B481" s="72" t="s">
        <v>315</v>
      </c>
      <c r="C481" s="72" t="s">
        <v>317</v>
      </c>
      <c r="D481" s="73"/>
      <c r="E481" s="73"/>
      <c r="F481" s="73"/>
      <c r="G481" s="75"/>
      <c r="H481" s="75"/>
    </row>
    <row r="482" spans="1:8" s="76" customFormat="1" hidden="1" x14ac:dyDescent="0.25">
      <c r="A482" s="71" t="s">
        <v>318</v>
      </c>
      <c r="B482" s="72" t="s">
        <v>315</v>
      </c>
      <c r="C482" s="72" t="s">
        <v>311</v>
      </c>
      <c r="D482" s="73"/>
      <c r="E482" s="73"/>
      <c r="F482" s="73"/>
      <c r="G482" s="75"/>
      <c r="H482" s="75"/>
    </row>
    <row r="483" spans="1:8" hidden="1" x14ac:dyDescent="0.25">
      <c r="A483" s="71" t="s">
        <v>319</v>
      </c>
      <c r="B483" s="72" t="s">
        <v>321</v>
      </c>
      <c r="C483" s="72" t="s">
        <v>322</v>
      </c>
      <c r="D483" s="73"/>
      <c r="E483" s="73"/>
      <c r="F483" s="73"/>
      <c r="G483" s="74"/>
    </row>
    <row r="484" spans="1:8" s="58" customFormat="1" ht="14.25" x14ac:dyDescent="0.2">
      <c r="A484" s="77" t="s">
        <v>323</v>
      </c>
      <c r="B484" s="78" t="s">
        <v>324</v>
      </c>
      <c r="C484" s="78" t="s">
        <v>325</v>
      </c>
      <c r="D484" s="79">
        <f>SUM(D485:D486)</f>
        <v>0</v>
      </c>
      <c r="E484" s="79">
        <f t="shared" ref="E484:F484" si="52">SUM(E485:E486)</f>
        <v>0</v>
      </c>
      <c r="F484" s="79">
        <f t="shared" si="52"/>
        <v>0</v>
      </c>
      <c r="G484" s="81"/>
    </row>
    <row r="485" spans="1:8" ht="30" x14ac:dyDescent="0.25">
      <c r="A485" s="71" t="s">
        <v>326</v>
      </c>
      <c r="B485" s="72" t="s">
        <v>324</v>
      </c>
      <c r="C485" s="72" t="s">
        <v>325</v>
      </c>
      <c r="D485" s="73"/>
      <c r="E485" s="73"/>
      <c r="F485" s="73"/>
      <c r="G485" s="74"/>
      <c r="H485" s="74"/>
    </row>
    <row r="486" spans="1:8" s="76" customFormat="1" x14ac:dyDescent="0.25">
      <c r="A486" s="71" t="s">
        <v>328</v>
      </c>
      <c r="B486" s="72" t="s">
        <v>324</v>
      </c>
      <c r="C486" s="72" t="s">
        <v>325</v>
      </c>
      <c r="D486" s="73"/>
      <c r="E486" s="73"/>
      <c r="F486" s="73"/>
      <c r="G486" s="75"/>
      <c r="H486" s="75"/>
    </row>
    <row r="487" spans="1:8" s="76" customFormat="1" x14ac:dyDescent="0.25">
      <c r="A487" s="71" t="s">
        <v>329</v>
      </c>
      <c r="B487" s="72" t="s">
        <v>324</v>
      </c>
      <c r="C487" s="72" t="s">
        <v>330</v>
      </c>
      <c r="D487" s="73"/>
      <c r="E487" s="73"/>
      <c r="F487" s="73"/>
      <c r="H487" s="75"/>
    </row>
    <row r="488" spans="1:8" x14ac:dyDescent="0.25">
      <c r="A488" s="71" t="s">
        <v>331</v>
      </c>
      <c r="B488" s="72" t="s">
        <v>324</v>
      </c>
      <c r="C488" s="72" t="s">
        <v>333</v>
      </c>
      <c r="D488" s="73"/>
      <c r="E488" s="73"/>
      <c r="F488" s="73"/>
      <c r="G488" s="74"/>
      <c r="H488" s="74"/>
    </row>
    <row r="489" spans="1:8" x14ac:dyDescent="0.25">
      <c r="A489" s="82" t="s">
        <v>334</v>
      </c>
      <c r="B489" s="83" t="s">
        <v>324</v>
      </c>
      <c r="C489" s="72" t="s">
        <v>333</v>
      </c>
      <c r="D489" s="73"/>
      <c r="E489" s="73"/>
      <c r="F489" s="73"/>
      <c r="G489" s="76"/>
      <c r="H489" s="75"/>
    </row>
    <row r="490" spans="1:8" s="76" customFormat="1" x14ac:dyDescent="0.25">
      <c r="A490" s="82" t="s">
        <v>336</v>
      </c>
      <c r="B490" s="83" t="s">
        <v>324</v>
      </c>
      <c r="C490" s="72" t="s">
        <v>337</v>
      </c>
      <c r="D490" s="73"/>
      <c r="E490" s="73"/>
      <c r="F490" s="73"/>
      <c r="G490" s="75"/>
      <c r="H490" s="75"/>
    </row>
    <row r="491" spans="1:8" s="58" customFormat="1" ht="18" customHeight="1" x14ac:dyDescent="0.2">
      <c r="A491" s="77" t="s">
        <v>338</v>
      </c>
      <c r="B491" s="78" t="s">
        <v>324</v>
      </c>
      <c r="C491" s="78" t="s">
        <v>339</v>
      </c>
      <c r="D491" s="80">
        <f>SUM(D492:D506)</f>
        <v>0</v>
      </c>
      <c r="E491" s="80">
        <f t="shared" ref="E491:F491" si="53">SUM(E492:E506)</f>
        <v>0</v>
      </c>
      <c r="F491" s="80">
        <f t="shared" si="53"/>
        <v>0</v>
      </c>
      <c r="G491" s="81"/>
      <c r="H491" s="81"/>
    </row>
    <row r="492" spans="1:8" ht="30" x14ac:dyDescent="0.25">
      <c r="A492" s="71" t="s">
        <v>340</v>
      </c>
      <c r="B492" s="72" t="s">
        <v>324</v>
      </c>
      <c r="C492" s="72" t="s">
        <v>339</v>
      </c>
      <c r="D492" s="73"/>
      <c r="E492" s="73"/>
      <c r="F492" s="73"/>
      <c r="G492" s="74"/>
      <c r="H492" s="74"/>
    </row>
    <row r="493" spans="1:8" s="84" customFormat="1" ht="15" customHeight="1" x14ac:dyDescent="0.25">
      <c r="A493" s="71" t="s">
        <v>342</v>
      </c>
      <c r="B493" s="72" t="s">
        <v>324</v>
      </c>
      <c r="C493" s="72" t="s">
        <v>339</v>
      </c>
      <c r="D493" s="73"/>
      <c r="E493" s="73"/>
      <c r="F493" s="73"/>
      <c r="H493" s="85"/>
    </row>
    <row r="494" spans="1:8" ht="30" x14ac:dyDescent="0.25">
      <c r="A494" s="71" t="s">
        <v>344</v>
      </c>
      <c r="B494" s="72" t="s">
        <v>324</v>
      </c>
      <c r="C494" s="72" t="s">
        <v>339</v>
      </c>
      <c r="D494" s="73"/>
      <c r="E494" s="73"/>
      <c r="F494" s="73"/>
      <c r="G494" s="74"/>
      <c r="H494" s="74"/>
    </row>
    <row r="495" spans="1:8" ht="15" customHeight="1" x14ac:dyDescent="0.25">
      <c r="A495" s="71" t="s">
        <v>346</v>
      </c>
      <c r="B495" s="72" t="s">
        <v>324</v>
      </c>
      <c r="C495" s="72" t="s">
        <v>339</v>
      </c>
      <c r="D495" s="73"/>
      <c r="E495" s="73"/>
      <c r="F495" s="73"/>
      <c r="G495" s="74"/>
      <c r="H495" s="74"/>
    </row>
    <row r="496" spans="1:8" ht="30" x14ac:dyDescent="0.25">
      <c r="A496" s="71" t="s">
        <v>347</v>
      </c>
      <c r="B496" s="72" t="s">
        <v>324</v>
      </c>
      <c r="C496" s="72" t="s">
        <v>339</v>
      </c>
      <c r="D496" s="73"/>
      <c r="E496" s="73"/>
      <c r="F496" s="73"/>
      <c r="H496" s="74"/>
    </row>
    <row r="497" spans="1:8" ht="14.25" customHeight="1" x14ac:dyDescent="0.25">
      <c r="A497" s="71" t="s">
        <v>348</v>
      </c>
      <c r="B497" s="72" t="s">
        <v>324</v>
      </c>
      <c r="C497" s="72" t="s">
        <v>339</v>
      </c>
      <c r="D497" s="73"/>
      <c r="E497" s="73"/>
      <c r="F497" s="73"/>
      <c r="H497" s="74"/>
    </row>
    <row r="498" spans="1:8" ht="14.25" customHeight="1" x14ac:dyDescent="0.25">
      <c r="A498" s="71" t="s">
        <v>349</v>
      </c>
      <c r="B498" s="72" t="s">
        <v>324</v>
      </c>
      <c r="C498" s="72" t="s">
        <v>339</v>
      </c>
      <c r="D498" s="73"/>
      <c r="E498" s="73"/>
      <c r="F498" s="73"/>
      <c r="H498" s="74"/>
    </row>
    <row r="499" spans="1:8" ht="14.25" customHeight="1" x14ac:dyDescent="0.25">
      <c r="A499" s="71" t="s">
        <v>350</v>
      </c>
      <c r="B499" s="72" t="s">
        <v>324</v>
      </c>
      <c r="C499" s="72" t="s">
        <v>339</v>
      </c>
      <c r="D499" s="73"/>
      <c r="E499" s="73"/>
      <c r="F499" s="73"/>
      <c r="H499" s="74"/>
    </row>
    <row r="500" spans="1:8" ht="14.25" customHeight="1" x14ac:dyDescent="0.25">
      <c r="A500" s="71" t="s">
        <v>351</v>
      </c>
      <c r="B500" s="72" t="s">
        <v>324</v>
      </c>
      <c r="C500" s="72" t="s">
        <v>339</v>
      </c>
      <c r="D500" s="73"/>
      <c r="E500" s="73"/>
      <c r="F500" s="73"/>
      <c r="H500" s="74"/>
    </row>
    <row r="501" spans="1:8" ht="14.25" customHeight="1" x14ac:dyDescent="0.25">
      <c r="A501" s="71" t="s">
        <v>352</v>
      </c>
      <c r="B501" s="72" t="s">
        <v>324</v>
      </c>
      <c r="C501" s="72" t="s">
        <v>339</v>
      </c>
      <c r="D501" s="73"/>
      <c r="E501" s="73"/>
      <c r="F501" s="73"/>
      <c r="H501" s="74"/>
    </row>
    <row r="502" spans="1:8" ht="14.25" customHeight="1" x14ac:dyDescent="0.25">
      <c r="A502" s="71" t="s">
        <v>353</v>
      </c>
      <c r="B502" s="72" t="s">
        <v>324</v>
      </c>
      <c r="C502" s="72" t="s">
        <v>339</v>
      </c>
      <c r="D502" s="73"/>
      <c r="E502" s="73"/>
      <c r="F502" s="73"/>
      <c r="H502" s="74"/>
    </row>
    <row r="503" spans="1:8" ht="14.25" customHeight="1" x14ac:dyDescent="0.25">
      <c r="A503" s="71" t="s">
        <v>354</v>
      </c>
      <c r="B503" s="72" t="s">
        <v>324</v>
      </c>
      <c r="C503" s="72" t="s">
        <v>339</v>
      </c>
      <c r="D503" s="73"/>
      <c r="E503" s="73"/>
      <c r="F503" s="73"/>
      <c r="H503" s="74"/>
    </row>
    <row r="504" spans="1:8" ht="14.25" customHeight="1" x14ac:dyDescent="0.25">
      <c r="A504" s="71" t="s">
        <v>355</v>
      </c>
      <c r="B504" s="72" t="s">
        <v>324</v>
      </c>
      <c r="C504" s="72" t="s">
        <v>339</v>
      </c>
      <c r="D504" s="73"/>
      <c r="E504" s="73"/>
      <c r="F504" s="73"/>
      <c r="H504" s="74"/>
    </row>
    <row r="505" spans="1:8" ht="14.25" customHeight="1" x14ac:dyDescent="0.25">
      <c r="A505" s="71" t="s">
        <v>356</v>
      </c>
      <c r="B505" s="72" t="s">
        <v>324</v>
      </c>
      <c r="C505" s="72" t="s">
        <v>339</v>
      </c>
      <c r="D505" s="73"/>
      <c r="E505" s="73"/>
      <c r="F505" s="73"/>
      <c r="H505" s="74"/>
    </row>
    <row r="506" spans="1:8" ht="14.25" customHeight="1" x14ac:dyDescent="0.25">
      <c r="A506" s="71" t="s">
        <v>357</v>
      </c>
      <c r="B506" s="72" t="s">
        <v>324</v>
      </c>
      <c r="C506" s="72" t="s">
        <v>339</v>
      </c>
      <c r="D506" s="73"/>
      <c r="E506" s="73"/>
      <c r="F506" s="73"/>
      <c r="H506" s="74"/>
    </row>
    <row r="507" spans="1:8" s="58" customFormat="1" ht="18" customHeight="1" x14ac:dyDescent="0.2">
      <c r="A507" s="77" t="s">
        <v>359</v>
      </c>
      <c r="B507" s="78" t="s">
        <v>324</v>
      </c>
      <c r="C507" s="78" t="s">
        <v>317</v>
      </c>
      <c r="D507" s="80">
        <f>SUM(D508:D517)</f>
        <v>28035.5</v>
      </c>
      <c r="E507" s="80">
        <f t="shared" ref="E507:F507" si="54">SUM(E508:E517)</f>
        <v>0</v>
      </c>
      <c r="F507" s="80">
        <f t="shared" si="54"/>
        <v>0</v>
      </c>
      <c r="G507" s="81"/>
      <c r="H507" s="81"/>
    </row>
    <row r="508" spans="1:8" s="76" customFormat="1" x14ac:dyDescent="0.25">
      <c r="A508" s="71" t="s">
        <v>360</v>
      </c>
      <c r="B508" s="72" t="s">
        <v>324</v>
      </c>
      <c r="C508" s="72" t="s">
        <v>317</v>
      </c>
      <c r="D508" s="73">
        <v>5000</v>
      </c>
      <c r="E508" s="73"/>
      <c r="F508" s="73"/>
      <c r="G508" s="63"/>
      <c r="H508" s="74"/>
    </row>
    <row r="509" spans="1:8" ht="14.25" customHeight="1" x14ac:dyDescent="0.25">
      <c r="A509" s="71" t="s">
        <v>362</v>
      </c>
      <c r="B509" s="72" t="s">
        <v>324</v>
      </c>
      <c r="C509" s="72" t="s">
        <v>317</v>
      </c>
      <c r="D509" s="73"/>
      <c r="E509" s="73"/>
      <c r="F509" s="73"/>
      <c r="H509" s="74"/>
    </row>
    <row r="510" spans="1:8" ht="14.25" customHeight="1" x14ac:dyDescent="0.25">
      <c r="A510" s="71" t="s">
        <v>363</v>
      </c>
      <c r="B510" s="72" t="s">
        <v>324</v>
      </c>
      <c r="C510" s="72" t="s">
        <v>317</v>
      </c>
      <c r="D510" s="73">
        <v>12000</v>
      </c>
      <c r="E510" s="73"/>
      <c r="F510" s="73"/>
      <c r="H510" s="74"/>
    </row>
    <row r="511" spans="1:8" ht="14.25" customHeight="1" x14ac:dyDescent="0.25">
      <c r="A511" s="71" t="s">
        <v>364</v>
      </c>
      <c r="B511" s="72" t="s">
        <v>324</v>
      </c>
      <c r="C511" s="72" t="s">
        <v>317</v>
      </c>
      <c r="D511" s="73"/>
      <c r="E511" s="73"/>
      <c r="F511" s="73"/>
      <c r="H511" s="74"/>
    </row>
    <row r="512" spans="1:8" ht="14.25" customHeight="1" x14ac:dyDescent="0.25">
      <c r="A512" s="71" t="s">
        <v>454</v>
      </c>
      <c r="B512" s="72" t="s">
        <v>324</v>
      </c>
      <c r="C512" s="72" t="s">
        <v>317</v>
      </c>
      <c r="D512" s="73"/>
      <c r="E512" s="73"/>
      <c r="F512" s="73"/>
      <c r="H512" s="74"/>
    </row>
    <row r="513" spans="1:8" ht="14.25" customHeight="1" x14ac:dyDescent="0.25">
      <c r="A513" s="71" t="s">
        <v>455</v>
      </c>
      <c r="B513" s="72" t="s">
        <v>324</v>
      </c>
      <c r="C513" s="72" t="s">
        <v>317</v>
      </c>
      <c r="D513" s="73">
        <v>3900</v>
      </c>
      <c r="E513" s="73"/>
      <c r="F513" s="73"/>
      <c r="H513" s="74"/>
    </row>
    <row r="514" spans="1:8" ht="14.25" customHeight="1" x14ac:dyDescent="0.25">
      <c r="A514" s="71" t="s">
        <v>743</v>
      </c>
      <c r="B514" s="72" t="s">
        <v>324</v>
      </c>
      <c r="C514" s="72" t="s">
        <v>317</v>
      </c>
      <c r="D514" s="73"/>
      <c r="E514" s="73"/>
      <c r="F514" s="73"/>
      <c r="H514" s="74"/>
    </row>
    <row r="515" spans="1:8" ht="14.25" customHeight="1" x14ac:dyDescent="0.25">
      <c r="A515" s="71" t="s">
        <v>368</v>
      </c>
      <c r="B515" s="72" t="s">
        <v>324</v>
      </c>
      <c r="C515" s="72" t="s">
        <v>317</v>
      </c>
      <c r="D515" s="73">
        <f>135.5+7000</f>
        <v>7135.5</v>
      </c>
      <c r="E515" s="73"/>
      <c r="F515" s="73"/>
      <c r="H515" s="74"/>
    </row>
    <row r="516" spans="1:8" ht="14.25" customHeight="1" x14ac:dyDescent="0.25">
      <c r="A516" s="71" t="s">
        <v>369</v>
      </c>
      <c r="B516" s="72" t="s">
        <v>324</v>
      </c>
      <c r="C516" s="72" t="s">
        <v>317</v>
      </c>
      <c r="D516" s="73"/>
      <c r="E516" s="73"/>
      <c r="F516" s="73"/>
      <c r="H516" s="74"/>
    </row>
    <row r="517" spans="1:8" ht="14.25" customHeight="1" x14ac:dyDescent="0.25">
      <c r="A517" s="71" t="s">
        <v>370</v>
      </c>
      <c r="B517" s="72" t="s">
        <v>324</v>
      </c>
      <c r="C517" s="72" t="s">
        <v>317</v>
      </c>
      <c r="D517" s="73"/>
      <c r="E517" s="73"/>
      <c r="F517" s="73"/>
      <c r="H517" s="74"/>
    </row>
    <row r="518" spans="1:8" hidden="1" x14ac:dyDescent="0.25">
      <c r="A518" s="77" t="s">
        <v>371</v>
      </c>
      <c r="B518" s="78" t="s">
        <v>372</v>
      </c>
      <c r="C518" s="78" t="s">
        <v>373</v>
      </c>
      <c r="D518" s="79"/>
      <c r="E518" s="79"/>
      <c r="F518" s="79"/>
      <c r="H518" s="74"/>
    </row>
    <row r="519" spans="1:8" s="76" customFormat="1" x14ac:dyDescent="0.25">
      <c r="A519" s="71" t="s">
        <v>374</v>
      </c>
      <c r="B519" s="72" t="s">
        <v>376</v>
      </c>
      <c r="C519" s="72" t="s">
        <v>377</v>
      </c>
      <c r="D519" s="73"/>
      <c r="E519" s="73"/>
      <c r="F519" s="73"/>
      <c r="G519" s="75"/>
      <c r="H519" s="75"/>
    </row>
    <row r="520" spans="1:8" s="76" customFormat="1" x14ac:dyDescent="0.25">
      <c r="A520" s="71" t="s">
        <v>378</v>
      </c>
      <c r="B520" s="72" t="s">
        <v>379</v>
      </c>
      <c r="C520" s="72" t="s">
        <v>380</v>
      </c>
      <c r="D520" s="73"/>
      <c r="E520" s="73"/>
      <c r="F520" s="73"/>
      <c r="H520" s="75"/>
    </row>
    <row r="521" spans="1:8" ht="15" customHeight="1" x14ac:dyDescent="0.25">
      <c r="A521" s="71" t="s">
        <v>381</v>
      </c>
      <c r="B521" s="72" t="s">
        <v>383</v>
      </c>
      <c r="C521" s="72" t="s">
        <v>377</v>
      </c>
      <c r="D521" s="73"/>
      <c r="E521" s="73"/>
      <c r="F521" s="73"/>
      <c r="G521" s="74"/>
      <c r="H521" s="74"/>
    </row>
    <row r="522" spans="1:8" x14ac:dyDescent="0.25">
      <c r="A522" s="71" t="s">
        <v>384</v>
      </c>
      <c r="B522" s="72" t="s">
        <v>383</v>
      </c>
      <c r="C522" s="72" t="s">
        <v>377</v>
      </c>
      <c r="D522" s="73"/>
      <c r="E522" s="73"/>
      <c r="F522" s="73"/>
      <c r="G522" s="74"/>
      <c r="H522" s="74"/>
    </row>
    <row r="523" spans="1:8" s="76" customFormat="1" x14ac:dyDescent="0.25">
      <c r="A523" s="150" t="s">
        <v>385</v>
      </c>
      <c r="B523" s="151" t="s">
        <v>324</v>
      </c>
      <c r="C523" s="78" t="s">
        <v>386</v>
      </c>
      <c r="D523" s="79">
        <v>950</v>
      </c>
      <c r="E523" s="79"/>
      <c r="F523" s="79"/>
      <c r="G523" s="75"/>
      <c r="H523" s="75"/>
    </row>
    <row r="524" spans="1:8" s="58" customFormat="1" ht="28.5" x14ac:dyDescent="0.2">
      <c r="A524" s="77" t="s">
        <v>387</v>
      </c>
      <c r="B524" s="78" t="s">
        <v>324</v>
      </c>
      <c r="C524" s="78" t="s">
        <v>388</v>
      </c>
      <c r="D524" s="80">
        <f>SUM(D525:D530)</f>
        <v>276759.90999999997</v>
      </c>
      <c r="E524" s="80">
        <f t="shared" ref="E524:F524" si="55">SUM(E525:E530)</f>
        <v>0</v>
      </c>
      <c r="F524" s="80">
        <f t="shared" si="55"/>
        <v>0</v>
      </c>
      <c r="G524" s="81"/>
      <c r="H524" s="81"/>
    </row>
    <row r="525" spans="1:8" s="76" customFormat="1" ht="15" customHeight="1" x14ac:dyDescent="0.25">
      <c r="A525" s="82" t="s">
        <v>461</v>
      </c>
      <c r="B525" s="83" t="s">
        <v>324</v>
      </c>
      <c r="C525" s="72" t="s">
        <v>463</v>
      </c>
      <c r="D525" s="73"/>
      <c r="E525" s="73"/>
      <c r="F525" s="73"/>
      <c r="G525" s="75"/>
      <c r="H525" s="75"/>
    </row>
    <row r="526" spans="1:8" s="76" customFormat="1" ht="15" customHeight="1" x14ac:dyDescent="0.25">
      <c r="A526" s="82" t="s">
        <v>462</v>
      </c>
      <c r="B526" s="83" t="s">
        <v>324</v>
      </c>
      <c r="C526" s="72" t="s">
        <v>464</v>
      </c>
      <c r="D526" s="73"/>
      <c r="E526" s="73"/>
      <c r="F526" s="73"/>
      <c r="G526" s="75"/>
      <c r="H526" s="75"/>
    </row>
    <row r="527" spans="1:8" s="76" customFormat="1" ht="15" customHeight="1" x14ac:dyDescent="0.25">
      <c r="A527" s="82" t="s">
        <v>389</v>
      </c>
      <c r="B527" s="83" t="s">
        <v>324</v>
      </c>
      <c r="C527" s="72" t="s">
        <v>390</v>
      </c>
      <c r="D527" s="73"/>
      <c r="E527" s="73"/>
      <c r="F527" s="73"/>
      <c r="G527" s="75"/>
      <c r="H527" s="75"/>
    </row>
    <row r="528" spans="1:8" s="76" customFormat="1" ht="15" customHeight="1" x14ac:dyDescent="0.25">
      <c r="A528" s="82" t="s">
        <v>480</v>
      </c>
      <c r="B528" s="83" t="s">
        <v>324</v>
      </c>
      <c r="C528" s="72" t="s">
        <v>509</v>
      </c>
      <c r="D528" s="73">
        <f>296100-27638.28-7000-5950-46000</f>
        <v>209511.71999999997</v>
      </c>
      <c r="E528" s="73"/>
      <c r="F528" s="73"/>
      <c r="G528" s="75"/>
      <c r="H528" s="75"/>
    </row>
    <row r="529" spans="1:8" s="76" customFormat="1" ht="15" customHeight="1" x14ac:dyDescent="0.25">
      <c r="A529" s="82" t="s">
        <v>393</v>
      </c>
      <c r="B529" s="83" t="s">
        <v>324</v>
      </c>
      <c r="C529" s="72" t="s">
        <v>392</v>
      </c>
      <c r="D529" s="73">
        <f>4597.22+1148.19+15502.78+46000</f>
        <v>67248.19</v>
      </c>
      <c r="E529" s="73"/>
      <c r="F529" s="73"/>
      <c r="G529" s="75"/>
      <c r="H529" s="75"/>
    </row>
    <row r="530" spans="1:8" s="76" customFormat="1" ht="15" customHeight="1" x14ac:dyDescent="0.25">
      <c r="A530" s="82" t="s">
        <v>394</v>
      </c>
      <c r="B530" s="83" t="s">
        <v>324</v>
      </c>
      <c r="C530" s="72" t="s">
        <v>392</v>
      </c>
      <c r="D530" s="73"/>
      <c r="E530" s="73"/>
      <c r="F530" s="73"/>
      <c r="G530" s="75"/>
      <c r="H530" s="75"/>
    </row>
    <row r="531" spans="1:8" s="58" customFormat="1" ht="14.25" hidden="1" x14ac:dyDescent="0.2">
      <c r="A531" s="93" t="s">
        <v>420</v>
      </c>
      <c r="B531" s="87"/>
      <c r="C531" s="87"/>
      <c r="D531" s="79">
        <f>SUM(D532,D533,D534,D535,D536,D537,D538,D545,D543,D561,D572,D573,D574,D575,D576,D577,D578,D542,D544)</f>
        <v>0</v>
      </c>
      <c r="E531" s="79">
        <f t="shared" ref="E531:F531" si="56">SUM(E532,E533,E534,E535,E536,E537,E538,E545,E543,E561,E572,E573,E574,E575,E576,E577,E578,E542,E544)</f>
        <v>0</v>
      </c>
      <c r="F531" s="79">
        <f t="shared" si="56"/>
        <v>0</v>
      </c>
    </row>
    <row r="532" spans="1:8" hidden="1" x14ac:dyDescent="0.25">
      <c r="A532" s="71" t="s">
        <v>306</v>
      </c>
      <c r="B532" s="72" t="s">
        <v>308</v>
      </c>
      <c r="C532" s="72" t="s">
        <v>309</v>
      </c>
      <c r="D532" s="73"/>
      <c r="E532" s="73"/>
      <c r="F532" s="73"/>
      <c r="G532" s="74"/>
    </row>
    <row r="533" spans="1:8" hidden="1" x14ac:dyDescent="0.25">
      <c r="A533" s="71" t="s">
        <v>310</v>
      </c>
      <c r="B533" s="72" t="s">
        <v>308</v>
      </c>
      <c r="C533" s="72" t="s">
        <v>311</v>
      </c>
      <c r="D533" s="73"/>
      <c r="E533" s="73"/>
      <c r="F533" s="73"/>
      <c r="G533" s="74"/>
    </row>
    <row r="534" spans="1:8" s="76" customFormat="1" hidden="1" x14ac:dyDescent="0.25">
      <c r="A534" s="71" t="s">
        <v>312</v>
      </c>
      <c r="B534" s="72" t="s">
        <v>315</v>
      </c>
      <c r="C534" s="72" t="s">
        <v>311</v>
      </c>
      <c r="D534" s="73"/>
      <c r="E534" s="73"/>
      <c r="F534" s="73"/>
      <c r="G534" s="75"/>
      <c r="H534" s="75"/>
    </row>
    <row r="535" spans="1:8" s="76" customFormat="1" hidden="1" x14ac:dyDescent="0.25">
      <c r="A535" s="71" t="s">
        <v>316</v>
      </c>
      <c r="B535" s="72" t="s">
        <v>315</v>
      </c>
      <c r="C535" s="72" t="s">
        <v>317</v>
      </c>
      <c r="D535" s="73"/>
      <c r="E535" s="73"/>
      <c r="F535" s="73"/>
      <c r="G535" s="75"/>
      <c r="H535" s="75"/>
    </row>
    <row r="536" spans="1:8" s="76" customFormat="1" hidden="1" x14ac:dyDescent="0.25">
      <c r="A536" s="71" t="s">
        <v>318</v>
      </c>
      <c r="B536" s="72" t="s">
        <v>315</v>
      </c>
      <c r="C536" s="72" t="s">
        <v>311</v>
      </c>
      <c r="D536" s="73"/>
      <c r="E536" s="73"/>
      <c r="F536" s="73"/>
      <c r="G536" s="75"/>
      <c r="H536" s="75"/>
    </row>
    <row r="537" spans="1:8" hidden="1" x14ac:dyDescent="0.25">
      <c r="A537" s="71" t="s">
        <v>319</v>
      </c>
      <c r="B537" s="72" t="s">
        <v>321</v>
      </c>
      <c r="C537" s="72" t="s">
        <v>322</v>
      </c>
      <c r="D537" s="73"/>
      <c r="E537" s="73"/>
      <c r="F537" s="73"/>
      <c r="G537" s="74"/>
    </row>
    <row r="538" spans="1:8" s="58" customFormat="1" ht="14.25" hidden="1" x14ac:dyDescent="0.2">
      <c r="A538" s="77" t="s">
        <v>323</v>
      </c>
      <c r="B538" s="78" t="s">
        <v>324</v>
      </c>
      <c r="C538" s="78" t="s">
        <v>325</v>
      </c>
      <c r="D538" s="79">
        <f>SUM(D539:D540)</f>
        <v>0</v>
      </c>
      <c r="E538" s="79">
        <f t="shared" ref="E538:F538" si="57">SUM(E539:E540)</f>
        <v>0</v>
      </c>
      <c r="F538" s="79">
        <f t="shared" si="57"/>
        <v>0</v>
      </c>
      <c r="G538" s="81"/>
    </row>
    <row r="539" spans="1:8" ht="30" hidden="1" x14ac:dyDescent="0.25">
      <c r="A539" s="71" t="s">
        <v>326</v>
      </c>
      <c r="B539" s="72" t="s">
        <v>324</v>
      </c>
      <c r="C539" s="72" t="s">
        <v>325</v>
      </c>
      <c r="D539" s="73"/>
      <c r="E539" s="73"/>
      <c r="F539" s="73"/>
      <c r="G539" s="74"/>
      <c r="H539" s="74"/>
    </row>
    <row r="540" spans="1:8" s="76" customFormat="1" hidden="1" x14ac:dyDescent="0.25">
      <c r="A540" s="71" t="s">
        <v>328</v>
      </c>
      <c r="B540" s="72" t="s">
        <v>324</v>
      </c>
      <c r="C540" s="72" t="s">
        <v>325</v>
      </c>
      <c r="D540" s="73"/>
      <c r="E540" s="73"/>
      <c r="F540" s="73"/>
      <c r="G540" s="75"/>
      <c r="H540" s="75"/>
    </row>
    <row r="541" spans="1:8" s="76" customFormat="1" hidden="1" x14ac:dyDescent="0.25">
      <c r="A541" s="71" t="s">
        <v>329</v>
      </c>
      <c r="B541" s="72" t="s">
        <v>324</v>
      </c>
      <c r="C541" s="72" t="s">
        <v>330</v>
      </c>
      <c r="D541" s="73"/>
      <c r="E541" s="73"/>
      <c r="F541" s="73"/>
      <c r="H541" s="75"/>
    </row>
    <row r="542" spans="1:8" hidden="1" x14ac:dyDescent="0.25">
      <c r="A542" s="71" t="s">
        <v>331</v>
      </c>
      <c r="B542" s="72" t="s">
        <v>324</v>
      </c>
      <c r="C542" s="72" t="s">
        <v>333</v>
      </c>
      <c r="D542" s="73"/>
      <c r="E542" s="73"/>
      <c r="F542" s="73"/>
      <c r="G542" s="74"/>
      <c r="H542" s="74"/>
    </row>
    <row r="543" spans="1:8" hidden="1" x14ac:dyDescent="0.25">
      <c r="A543" s="82" t="s">
        <v>334</v>
      </c>
      <c r="B543" s="83" t="s">
        <v>324</v>
      </c>
      <c r="C543" s="72" t="s">
        <v>333</v>
      </c>
      <c r="D543" s="73"/>
      <c r="E543" s="73"/>
      <c r="F543" s="73"/>
      <c r="G543" s="76"/>
      <c r="H543" s="75"/>
    </row>
    <row r="544" spans="1:8" s="76" customFormat="1" hidden="1" x14ac:dyDescent="0.25">
      <c r="A544" s="82" t="s">
        <v>336</v>
      </c>
      <c r="B544" s="83" t="s">
        <v>324</v>
      </c>
      <c r="C544" s="72" t="s">
        <v>337</v>
      </c>
      <c r="D544" s="73"/>
      <c r="E544" s="73"/>
      <c r="F544" s="73"/>
      <c r="G544" s="75"/>
      <c r="H544" s="75"/>
    </row>
    <row r="545" spans="1:8" s="58" customFormat="1" ht="18" hidden="1" customHeight="1" x14ac:dyDescent="0.2">
      <c r="A545" s="77" t="s">
        <v>338</v>
      </c>
      <c r="B545" s="78" t="s">
        <v>324</v>
      </c>
      <c r="C545" s="78" t="s">
        <v>339</v>
      </c>
      <c r="D545" s="80">
        <f>SUM(D546:D560)</f>
        <v>0</v>
      </c>
      <c r="E545" s="80">
        <f t="shared" ref="E545:F545" si="58">SUM(E546:E560)</f>
        <v>0</v>
      </c>
      <c r="F545" s="80">
        <f t="shared" si="58"/>
        <v>0</v>
      </c>
      <c r="G545" s="81"/>
      <c r="H545" s="81"/>
    </row>
    <row r="546" spans="1:8" ht="30" hidden="1" x14ac:dyDescent="0.25">
      <c r="A546" s="71" t="s">
        <v>340</v>
      </c>
      <c r="B546" s="72" t="s">
        <v>324</v>
      </c>
      <c r="C546" s="72" t="s">
        <v>339</v>
      </c>
      <c r="D546" s="73"/>
      <c r="E546" s="73"/>
      <c r="F546" s="73"/>
      <c r="G546" s="74"/>
      <c r="H546" s="74"/>
    </row>
    <row r="547" spans="1:8" s="84" customFormat="1" ht="15" hidden="1" customHeight="1" x14ac:dyDescent="0.25">
      <c r="A547" s="71" t="s">
        <v>342</v>
      </c>
      <c r="B547" s="72" t="s">
        <v>324</v>
      </c>
      <c r="C547" s="72" t="s">
        <v>339</v>
      </c>
      <c r="D547" s="73"/>
      <c r="E547" s="73"/>
      <c r="F547" s="73"/>
      <c r="H547" s="85"/>
    </row>
    <row r="548" spans="1:8" ht="30" hidden="1" x14ac:dyDescent="0.25">
      <c r="A548" s="71" t="s">
        <v>344</v>
      </c>
      <c r="B548" s="72" t="s">
        <v>324</v>
      </c>
      <c r="C548" s="72" t="s">
        <v>339</v>
      </c>
      <c r="D548" s="73"/>
      <c r="E548" s="73"/>
      <c r="F548" s="73"/>
      <c r="G548" s="74"/>
      <c r="H548" s="74"/>
    </row>
    <row r="549" spans="1:8" ht="15" hidden="1" customHeight="1" x14ac:dyDescent="0.25">
      <c r="A549" s="71" t="s">
        <v>346</v>
      </c>
      <c r="B549" s="72" t="s">
        <v>324</v>
      </c>
      <c r="C549" s="72" t="s">
        <v>339</v>
      </c>
      <c r="D549" s="73"/>
      <c r="E549" s="73"/>
      <c r="F549" s="73"/>
      <c r="G549" s="74"/>
      <c r="H549" s="74"/>
    </row>
    <row r="550" spans="1:8" ht="30" hidden="1" x14ac:dyDescent="0.25">
      <c r="A550" s="71" t="s">
        <v>347</v>
      </c>
      <c r="B550" s="72" t="s">
        <v>324</v>
      </c>
      <c r="C550" s="72" t="s">
        <v>339</v>
      </c>
      <c r="D550" s="73"/>
      <c r="E550" s="73"/>
      <c r="F550" s="73"/>
      <c r="H550" s="74"/>
    </row>
    <row r="551" spans="1:8" ht="14.25" hidden="1" customHeight="1" x14ac:dyDescent="0.25">
      <c r="A551" s="71" t="s">
        <v>348</v>
      </c>
      <c r="B551" s="72" t="s">
        <v>324</v>
      </c>
      <c r="C551" s="72" t="s">
        <v>339</v>
      </c>
      <c r="D551" s="73"/>
      <c r="E551" s="73"/>
      <c r="F551" s="73"/>
      <c r="H551" s="74"/>
    </row>
    <row r="552" spans="1:8" ht="14.25" hidden="1" customHeight="1" x14ac:dyDescent="0.25">
      <c r="A552" s="71" t="s">
        <v>349</v>
      </c>
      <c r="B552" s="72" t="s">
        <v>324</v>
      </c>
      <c r="C552" s="72" t="s">
        <v>339</v>
      </c>
      <c r="D552" s="73"/>
      <c r="E552" s="73"/>
      <c r="F552" s="73"/>
      <c r="H552" s="74"/>
    </row>
    <row r="553" spans="1:8" ht="14.25" hidden="1" customHeight="1" x14ac:dyDescent="0.25">
      <c r="A553" s="71" t="s">
        <v>350</v>
      </c>
      <c r="B553" s="72" t="s">
        <v>324</v>
      </c>
      <c r="C553" s="72" t="s">
        <v>339</v>
      </c>
      <c r="D553" s="73"/>
      <c r="E553" s="73"/>
      <c r="F553" s="73"/>
      <c r="H553" s="74"/>
    </row>
    <row r="554" spans="1:8" ht="14.25" hidden="1" customHeight="1" x14ac:dyDescent="0.25">
      <c r="A554" s="71" t="s">
        <v>351</v>
      </c>
      <c r="B554" s="72" t="s">
        <v>324</v>
      </c>
      <c r="C554" s="72" t="s">
        <v>339</v>
      </c>
      <c r="D554" s="73"/>
      <c r="E554" s="73"/>
      <c r="F554" s="73"/>
      <c r="H554" s="74"/>
    </row>
    <row r="555" spans="1:8" ht="14.25" hidden="1" customHeight="1" x14ac:dyDescent="0.25">
      <c r="A555" s="71" t="s">
        <v>352</v>
      </c>
      <c r="B555" s="72" t="s">
        <v>324</v>
      </c>
      <c r="C555" s="72" t="s">
        <v>339</v>
      </c>
      <c r="D555" s="73"/>
      <c r="E555" s="73"/>
      <c r="F555" s="73"/>
      <c r="H555" s="74"/>
    </row>
    <row r="556" spans="1:8" ht="14.25" hidden="1" customHeight="1" x14ac:dyDescent="0.25">
      <c r="A556" s="71" t="s">
        <v>353</v>
      </c>
      <c r="B556" s="72" t="s">
        <v>324</v>
      </c>
      <c r="C556" s="72" t="s">
        <v>339</v>
      </c>
      <c r="D556" s="73"/>
      <c r="E556" s="73"/>
      <c r="F556" s="73"/>
      <c r="H556" s="74"/>
    </row>
    <row r="557" spans="1:8" ht="14.25" hidden="1" customHeight="1" x14ac:dyDescent="0.25">
      <c r="A557" s="71" t="s">
        <v>354</v>
      </c>
      <c r="B557" s="72" t="s">
        <v>324</v>
      </c>
      <c r="C557" s="72" t="s">
        <v>339</v>
      </c>
      <c r="D557" s="73"/>
      <c r="E557" s="73"/>
      <c r="F557" s="73"/>
      <c r="H557" s="74"/>
    </row>
    <row r="558" spans="1:8" ht="14.25" hidden="1" customHeight="1" x14ac:dyDescent="0.25">
      <c r="A558" s="71" t="s">
        <v>355</v>
      </c>
      <c r="B558" s="72" t="s">
        <v>324</v>
      </c>
      <c r="C558" s="72" t="s">
        <v>339</v>
      </c>
      <c r="D558" s="73"/>
      <c r="E558" s="73"/>
      <c r="F558" s="73"/>
      <c r="H558" s="74"/>
    </row>
    <row r="559" spans="1:8" ht="14.25" hidden="1" customHeight="1" x14ac:dyDescent="0.25">
      <c r="A559" s="71" t="s">
        <v>356</v>
      </c>
      <c r="B559" s="72" t="s">
        <v>324</v>
      </c>
      <c r="C559" s="72" t="s">
        <v>339</v>
      </c>
      <c r="D559" s="73"/>
      <c r="E559" s="73"/>
      <c r="F559" s="73"/>
      <c r="H559" s="74"/>
    </row>
    <row r="560" spans="1:8" ht="14.25" hidden="1" customHeight="1" x14ac:dyDescent="0.25">
      <c r="A560" s="71" t="s">
        <v>357</v>
      </c>
      <c r="B560" s="72" t="s">
        <v>324</v>
      </c>
      <c r="C560" s="72" t="s">
        <v>339</v>
      </c>
      <c r="D560" s="73"/>
      <c r="E560" s="73"/>
      <c r="F560" s="73"/>
      <c r="H560" s="74"/>
    </row>
    <row r="561" spans="1:8" s="58" customFormat="1" ht="18" hidden="1" customHeight="1" x14ac:dyDescent="0.2">
      <c r="A561" s="77" t="s">
        <v>359</v>
      </c>
      <c r="B561" s="78" t="s">
        <v>324</v>
      </c>
      <c r="C561" s="78" t="s">
        <v>317</v>
      </c>
      <c r="D561" s="80">
        <f>SUM(D562:D571)</f>
        <v>0</v>
      </c>
      <c r="E561" s="80">
        <f t="shared" ref="E561:F561" si="59">SUM(E562:E571)</f>
        <v>0</v>
      </c>
      <c r="F561" s="80">
        <f t="shared" si="59"/>
        <v>0</v>
      </c>
      <c r="G561" s="81"/>
      <c r="H561" s="81"/>
    </row>
    <row r="562" spans="1:8" s="76" customFormat="1" hidden="1" x14ac:dyDescent="0.25">
      <c r="A562" s="71" t="s">
        <v>360</v>
      </c>
      <c r="B562" s="72" t="s">
        <v>324</v>
      </c>
      <c r="C562" s="72" t="s">
        <v>317</v>
      </c>
      <c r="D562" s="73"/>
      <c r="E562" s="73"/>
      <c r="F562" s="73"/>
      <c r="G562" s="63"/>
      <c r="H562" s="74"/>
    </row>
    <row r="563" spans="1:8" ht="14.25" hidden="1" customHeight="1" x14ac:dyDescent="0.25">
      <c r="A563" s="71" t="s">
        <v>362</v>
      </c>
      <c r="B563" s="72" t="s">
        <v>324</v>
      </c>
      <c r="C563" s="72" t="s">
        <v>317</v>
      </c>
      <c r="D563" s="73"/>
      <c r="E563" s="73"/>
      <c r="F563" s="73"/>
      <c r="H563" s="74"/>
    </row>
    <row r="564" spans="1:8" ht="14.25" hidden="1" customHeight="1" x14ac:dyDescent="0.25">
      <c r="A564" s="71" t="s">
        <v>363</v>
      </c>
      <c r="B564" s="72" t="s">
        <v>324</v>
      </c>
      <c r="C564" s="72" t="s">
        <v>317</v>
      </c>
      <c r="D564" s="73"/>
      <c r="E564" s="73"/>
      <c r="F564" s="73"/>
      <c r="H564" s="74"/>
    </row>
    <row r="565" spans="1:8" ht="14.25" hidden="1" customHeight="1" x14ac:dyDescent="0.25">
      <c r="A565" s="71" t="s">
        <v>364</v>
      </c>
      <c r="B565" s="72" t="s">
        <v>324</v>
      </c>
      <c r="C565" s="72" t="s">
        <v>317</v>
      </c>
      <c r="D565" s="73"/>
      <c r="E565" s="73"/>
      <c r="F565" s="73"/>
      <c r="H565" s="74"/>
    </row>
    <row r="566" spans="1:8" ht="14.25" hidden="1" customHeight="1" x14ac:dyDescent="0.25">
      <c r="A566" s="71" t="s">
        <v>365</v>
      </c>
      <c r="B566" s="72" t="s">
        <v>324</v>
      </c>
      <c r="C566" s="72" t="s">
        <v>317</v>
      </c>
      <c r="D566" s="73"/>
      <c r="E566" s="73"/>
      <c r="F566" s="73"/>
      <c r="H566" s="74"/>
    </row>
    <row r="567" spans="1:8" ht="14.25" hidden="1" customHeight="1" x14ac:dyDescent="0.25">
      <c r="A567" s="71" t="s">
        <v>366</v>
      </c>
      <c r="B567" s="72" t="s">
        <v>324</v>
      </c>
      <c r="C567" s="72" t="s">
        <v>317</v>
      </c>
      <c r="D567" s="73"/>
      <c r="E567" s="73"/>
      <c r="F567" s="73"/>
      <c r="H567" s="74"/>
    </row>
    <row r="568" spans="1:8" ht="14.25" hidden="1" customHeight="1" x14ac:dyDescent="0.25">
      <c r="A568" s="71" t="s">
        <v>367</v>
      </c>
      <c r="B568" s="72" t="s">
        <v>324</v>
      </c>
      <c r="C568" s="72" t="s">
        <v>317</v>
      </c>
      <c r="D568" s="73"/>
      <c r="E568" s="73"/>
      <c r="F568" s="73"/>
      <c r="H568" s="74"/>
    </row>
    <row r="569" spans="1:8" ht="14.25" hidden="1" customHeight="1" x14ac:dyDescent="0.25">
      <c r="A569" s="71" t="s">
        <v>368</v>
      </c>
      <c r="B569" s="72" t="s">
        <v>324</v>
      </c>
      <c r="C569" s="72" t="s">
        <v>317</v>
      </c>
      <c r="D569" s="73"/>
      <c r="E569" s="73"/>
      <c r="F569" s="73"/>
      <c r="H569" s="74"/>
    </row>
    <row r="570" spans="1:8" ht="14.25" hidden="1" customHeight="1" x14ac:dyDescent="0.25">
      <c r="A570" s="71" t="s">
        <v>369</v>
      </c>
      <c r="B570" s="72" t="s">
        <v>324</v>
      </c>
      <c r="C570" s="72" t="s">
        <v>317</v>
      </c>
      <c r="D570" s="73"/>
      <c r="E570" s="73"/>
      <c r="F570" s="73"/>
      <c r="H570" s="74"/>
    </row>
    <row r="571" spans="1:8" ht="14.25" hidden="1" customHeight="1" x14ac:dyDescent="0.25">
      <c r="A571" s="71" t="s">
        <v>370</v>
      </c>
      <c r="B571" s="72" t="s">
        <v>324</v>
      </c>
      <c r="C571" s="72" t="s">
        <v>317</v>
      </c>
      <c r="D571" s="73"/>
      <c r="E571" s="73"/>
      <c r="F571" s="73"/>
      <c r="H571" s="74"/>
    </row>
    <row r="572" spans="1:8" hidden="1" x14ac:dyDescent="0.25">
      <c r="A572" s="77" t="s">
        <v>371</v>
      </c>
      <c r="B572" s="78" t="s">
        <v>372</v>
      </c>
      <c r="C572" s="78" t="s">
        <v>373</v>
      </c>
      <c r="D572" s="79"/>
      <c r="E572" s="79"/>
      <c r="F572" s="79"/>
      <c r="H572" s="74"/>
    </row>
    <row r="573" spans="1:8" s="76" customFormat="1" hidden="1" x14ac:dyDescent="0.25">
      <c r="A573" s="71" t="s">
        <v>374</v>
      </c>
      <c r="B573" s="72" t="s">
        <v>376</v>
      </c>
      <c r="C573" s="72" t="s">
        <v>377</v>
      </c>
      <c r="D573" s="73"/>
      <c r="E573" s="73"/>
      <c r="F573" s="73"/>
      <c r="G573" s="75"/>
      <c r="H573" s="75"/>
    </row>
    <row r="574" spans="1:8" s="76" customFormat="1" hidden="1" x14ac:dyDescent="0.25">
      <c r="A574" s="71" t="s">
        <v>378</v>
      </c>
      <c r="B574" s="72" t="s">
        <v>379</v>
      </c>
      <c r="C574" s="72" t="s">
        <v>380</v>
      </c>
      <c r="D574" s="73"/>
      <c r="E574" s="73"/>
      <c r="F574" s="73"/>
      <c r="H574" s="75"/>
    </row>
    <row r="575" spans="1:8" ht="15" hidden="1" customHeight="1" x14ac:dyDescent="0.25">
      <c r="A575" s="71" t="s">
        <v>381</v>
      </c>
      <c r="B575" s="72" t="s">
        <v>383</v>
      </c>
      <c r="C575" s="72" t="s">
        <v>377</v>
      </c>
      <c r="D575" s="73"/>
      <c r="E575" s="73"/>
      <c r="F575" s="73"/>
      <c r="G575" s="74"/>
      <c r="H575" s="74"/>
    </row>
    <row r="576" spans="1:8" hidden="1" x14ac:dyDescent="0.25">
      <c r="A576" s="71" t="s">
        <v>384</v>
      </c>
      <c r="B576" s="72" t="s">
        <v>383</v>
      </c>
      <c r="C576" s="72" t="s">
        <v>377</v>
      </c>
      <c r="D576" s="73"/>
      <c r="E576" s="73"/>
      <c r="F576" s="73"/>
      <c r="G576" s="74"/>
      <c r="H576" s="74"/>
    </row>
    <row r="577" spans="1:8" s="76" customFormat="1" hidden="1" x14ac:dyDescent="0.25">
      <c r="A577" s="82" t="s">
        <v>385</v>
      </c>
      <c r="B577" s="83" t="s">
        <v>324</v>
      </c>
      <c r="C577" s="72" t="s">
        <v>386</v>
      </c>
      <c r="D577" s="73"/>
      <c r="E577" s="73"/>
      <c r="F577" s="73"/>
      <c r="G577" s="75"/>
      <c r="H577" s="75"/>
    </row>
    <row r="578" spans="1:8" s="58" customFormat="1" ht="28.5" hidden="1" x14ac:dyDescent="0.2">
      <c r="A578" s="77" t="s">
        <v>387</v>
      </c>
      <c r="B578" s="78" t="s">
        <v>324</v>
      </c>
      <c r="C578" s="78" t="s">
        <v>388</v>
      </c>
      <c r="D578" s="80">
        <f>SUM(D579:D582)</f>
        <v>0</v>
      </c>
      <c r="E578" s="80">
        <f t="shared" ref="E578:F578" si="60">SUM(E579:E582)</f>
        <v>0</v>
      </c>
      <c r="F578" s="80">
        <f t="shared" si="60"/>
        <v>0</v>
      </c>
      <c r="G578" s="81"/>
      <c r="H578" s="81"/>
    </row>
    <row r="579" spans="1:8" s="76" customFormat="1" ht="15" hidden="1" customHeight="1" x14ac:dyDescent="0.25">
      <c r="A579" s="82" t="s">
        <v>389</v>
      </c>
      <c r="B579" s="83" t="s">
        <v>324</v>
      </c>
      <c r="C579" s="72" t="s">
        <v>390</v>
      </c>
      <c r="D579" s="73"/>
      <c r="E579" s="73"/>
      <c r="F579" s="73"/>
      <c r="G579" s="75"/>
      <c r="H579" s="75"/>
    </row>
    <row r="580" spans="1:8" s="76" customFormat="1" ht="15" hidden="1" customHeight="1" x14ac:dyDescent="0.25">
      <c r="A580" s="82" t="s">
        <v>391</v>
      </c>
      <c r="B580" s="83" t="s">
        <v>324</v>
      </c>
      <c r="C580" s="72" t="s">
        <v>392</v>
      </c>
      <c r="D580" s="73"/>
      <c r="E580" s="73"/>
      <c r="F580" s="73"/>
      <c r="G580" s="75"/>
      <c r="H580" s="75"/>
    </row>
    <row r="581" spans="1:8" s="76" customFormat="1" ht="15" hidden="1" customHeight="1" x14ac:dyDescent="0.25">
      <c r="A581" s="82" t="s">
        <v>393</v>
      </c>
      <c r="B581" s="83" t="s">
        <v>324</v>
      </c>
      <c r="C581" s="72" t="s">
        <v>392</v>
      </c>
      <c r="D581" s="73"/>
      <c r="E581" s="73"/>
      <c r="F581" s="73"/>
      <c r="G581" s="75"/>
      <c r="H581" s="75"/>
    </row>
    <row r="582" spans="1:8" s="76" customFormat="1" ht="15" hidden="1" customHeight="1" x14ac:dyDescent="0.25">
      <c r="A582" s="82" t="s">
        <v>394</v>
      </c>
      <c r="B582" s="83" t="s">
        <v>324</v>
      </c>
      <c r="C582" s="72" t="s">
        <v>392</v>
      </c>
      <c r="D582" s="73"/>
      <c r="E582" s="73"/>
      <c r="F582" s="73"/>
      <c r="G582" s="75"/>
      <c r="H582" s="75"/>
    </row>
    <row r="583" spans="1:8" s="58" customFormat="1" ht="14.25" hidden="1" x14ac:dyDescent="0.2">
      <c r="A583" s="93" t="s">
        <v>421</v>
      </c>
      <c r="B583" s="87"/>
      <c r="C583" s="87"/>
      <c r="D583" s="79">
        <f>SUM(D584,D585,D586,D587,D588,D589,D590,D597,D595,D613,D624,D625,D626,D627,D628,D629,D630,D594,D596)</f>
        <v>0</v>
      </c>
      <c r="E583" s="79">
        <f t="shared" ref="E583:F583" si="61">SUM(E584,E585,E586,E587,E588,E589,E590,E597,E595,E613,E624,E625,E626,E627,E628,E629,E630,E594,E596)</f>
        <v>0</v>
      </c>
      <c r="F583" s="79">
        <f t="shared" si="61"/>
        <v>0</v>
      </c>
    </row>
    <row r="584" spans="1:8" hidden="1" x14ac:dyDescent="0.25">
      <c r="A584" s="71" t="s">
        <v>306</v>
      </c>
      <c r="B584" s="72" t="s">
        <v>308</v>
      </c>
      <c r="C584" s="72" t="s">
        <v>309</v>
      </c>
      <c r="D584" s="73"/>
      <c r="E584" s="73"/>
      <c r="F584" s="73"/>
      <c r="G584" s="74"/>
    </row>
    <row r="585" spans="1:8" hidden="1" x14ac:dyDescent="0.25">
      <c r="A585" s="71" t="s">
        <v>310</v>
      </c>
      <c r="B585" s="72" t="s">
        <v>308</v>
      </c>
      <c r="C585" s="72" t="s">
        <v>311</v>
      </c>
      <c r="D585" s="73"/>
      <c r="E585" s="73"/>
      <c r="F585" s="73"/>
      <c r="G585" s="74"/>
    </row>
    <row r="586" spans="1:8" s="76" customFormat="1" hidden="1" x14ac:dyDescent="0.25">
      <c r="A586" s="71" t="s">
        <v>312</v>
      </c>
      <c r="B586" s="72" t="s">
        <v>315</v>
      </c>
      <c r="C586" s="72" t="s">
        <v>311</v>
      </c>
      <c r="D586" s="73"/>
      <c r="E586" s="73"/>
      <c r="F586" s="73"/>
      <c r="G586" s="75"/>
      <c r="H586" s="75"/>
    </row>
    <row r="587" spans="1:8" s="76" customFormat="1" hidden="1" x14ac:dyDescent="0.25">
      <c r="A587" s="71" t="s">
        <v>316</v>
      </c>
      <c r="B587" s="72" t="s">
        <v>315</v>
      </c>
      <c r="C587" s="72" t="s">
        <v>317</v>
      </c>
      <c r="D587" s="73"/>
      <c r="E587" s="73"/>
      <c r="F587" s="73"/>
      <c r="G587" s="75"/>
      <c r="H587" s="75"/>
    </row>
    <row r="588" spans="1:8" s="76" customFormat="1" hidden="1" x14ac:dyDescent="0.25">
      <c r="A588" s="71" t="s">
        <v>318</v>
      </c>
      <c r="B588" s="72" t="s">
        <v>315</v>
      </c>
      <c r="C588" s="72" t="s">
        <v>311</v>
      </c>
      <c r="D588" s="73"/>
      <c r="E588" s="73"/>
      <c r="F588" s="73"/>
      <c r="G588" s="75"/>
      <c r="H588" s="75"/>
    </row>
    <row r="589" spans="1:8" hidden="1" x14ac:dyDescent="0.25">
      <c r="A589" s="71" t="s">
        <v>319</v>
      </c>
      <c r="B589" s="72" t="s">
        <v>321</v>
      </c>
      <c r="C589" s="72" t="s">
        <v>322</v>
      </c>
      <c r="D589" s="73"/>
      <c r="E589" s="73"/>
      <c r="F589" s="73"/>
      <c r="G589" s="74"/>
    </row>
    <row r="590" spans="1:8" s="58" customFormat="1" ht="14.25" hidden="1" x14ac:dyDescent="0.2">
      <c r="A590" s="77" t="s">
        <v>323</v>
      </c>
      <c r="B590" s="78" t="s">
        <v>324</v>
      </c>
      <c r="C590" s="78" t="s">
        <v>325</v>
      </c>
      <c r="D590" s="79">
        <f>SUM(D591:D592)</f>
        <v>0</v>
      </c>
      <c r="E590" s="79">
        <f t="shared" ref="E590:F590" si="62">SUM(E591:E592)</f>
        <v>0</v>
      </c>
      <c r="F590" s="79">
        <f t="shared" si="62"/>
        <v>0</v>
      </c>
      <c r="G590" s="81"/>
    </row>
    <row r="591" spans="1:8" ht="30" hidden="1" x14ac:dyDescent="0.25">
      <c r="A591" s="71" t="s">
        <v>326</v>
      </c>
      <c r="B591" s="72" t="s">
        <v>324</v>
      </c>
      <c r="C591" s="72" t="s">
        <v>325</v>
      </c>
      <c r="D591" s="73"/>
      <c r="E591" s="73"/>
      <c r="F591" s="73"/>
      <c r="G591" s="74"/>
      <c r="H591" s="74"/>
    </row>
    <row r="592" spans="1:8" s="76" customFormat="1" hidden="1" x14ac:dyDescent="0.25">
      <c r="A592" s="71" t="s">
        <v>328</v>
      </c>
      <c r="B592" s="72" t="s">
        <v>324</v>
      </c>
      <c r="C592" s="72" t="s">
        <v>325</v>
      </c>
      <c r="D592" s="73"/>
      <c r="E592" s="73"/>
      <c r="F592" s="73"/>
      <c r="G592" s="75"/>
      <c r="H592" s="75"/>
    </row>
    <row r="593" spans="1:8" s="76" customFormat="1" hidden="1" x14ac:dyDescent="0.25">
      <c r="A593" s="71" t="s">
        <v>329</v>
      </c>
      <c r="B593" s="72" t="s">
        <v>324</v>
      </c>
      <c r="C593" s="72" t="s">
        <v>330</v>
      </c>
      <c r="D593" s="73"/>
      <c r="E593" s="73"/>
      <c r="F593" s="73"/>
      <c r="H593" s="75"/>
    </row>
    <row r="594" spans="1:8" hidden="1" x14ac:dyDescent="0.25">
      <c r="A594" s="71" t="s">
        <v>331</v>
      </c>
      <c r="B594" s="72" t="s">
        <v>324</v>
      </c>
      <c r="C594" s="72" t="s">
        <v>333</v>
      </c>
      <c r="D594" s="73"/>
      <c r="E594" s="73"/>
      <c r="F594" s="73"/>
      <c r="G594" s="74"/>
      <c r="H594" s="74"/>
    </row>
    <row r="595" spans="1:8" hidden="1" x14ac:dyDescent="0.25">
      <c r="A595" s="82" t="s">
        <v>334</v>
      </c>
      <c r="B595" s="83" t="s">
        <v>324</v>
      </c>
      <c r="C595" s="72" t="s">
        <v>333</v>
      </c>
      <c r="D595" s="73"/>
      <c r="E595" s="73"/>
      <c r="F595" s="73"/>
      <c r="G595" s="76"/>
      <c r="H595" s="75"/>
    </row>
    <row r="596" spans="1:8" s="76" customFormat="1" hidden="1" x14ac:dyDescent="0.25">
      <c r="A596" s="82" t="s">
        <v>336</v>
      </c>
      <c r="B596" s="83" t="s">
        <v>324</v>
      </c>
      <c r="C596" s="72" t="s">
        <v>337</v>
      </c>
      <c r="D596" s="73"/>
      <c r="E596" s="73"/>
      <c r="F596" s="73"/>
      <c r="G596" s="75"/>
      <c r="H596" s="75"/>
    </row>
    <row r="597" spans="1:8" s="58" customFormat="1" ht="18" hidden="1" customHeight="1" x14ac:dyDescent="0.2">
      <c r="A597" s="77" t="s">
        <v>338</v>
      </c>
      <c r="B597" s="78" t="s">
        <v>324</v>
      </c>
      <c r="C597" s="78" t="s">
        <v>339</v>
      </c>
      <c r="D597" s="80">
        <f>SUM(D598:D612)</f>
        <v>0</v>
      </c>
      <c r="E597" s="80">
        <f t="shared" ref="E597:F597" si="63">SUM(E598:E612)</f>
        <v>0</v>
      </c>
      <c r="F597" s="80">
        <f t="shared" si="63"/>
        <v>0</v>
      </c>
      <c r="G597" s="81"/>
      <c r="H597" s="81"/>
    </row>
    <row r="598" spans="1:8" ht="30" hidden="1" x14ac:dyDescent="0.25">
      <c r="A598" s="71" t="s">
        <v>340</v>
      </c>
      <c r="B598" s="72" t="s">
        <v>324</v>
      </c>
      <c r="C598" s="72" t="s">
        <v>339</v>
      </c>
      <c r="D598" s="73"/>
      <c r="E598" s="73"/>
      <c r="F598" s="73"/>
      <c r="G598" s="74"/>
      <c r="H598" s="74"/>
    </row>
    <row r="599" spans="1:8" s="84" customFormat="1" ht="15" hidden="1" customHeight="1" x14ac:dyDescent="0.25">
      <c r="A599" s="71" t="s">
        <v>342</v>
      </c>
      <c r="B599" s="72" t="s">
        <v>324</v>
      </c>
      <c r="C599" s="72" t="s">
        <v>339</v>
      </c>
      <c r="D599" s="73"/>
      <c r="E599" s="73"/>
      <c r="F599" s="73"/>
      <c r="H599" s="85"/>
    </row>
    <row r="600" spans="1:8" ht="30" hidden="1" x14ac:dyDescent="0.25">
      <c r="A600" s="71" t="s">
        <v>344</v>
      </c>
      <c r="B600" s="72" t="s">
        <v>324</v>
      </c>
      <c r="C600" s="72" t="s">
        <v>339</v>
      </c>
      <c r="D600" s="73"/>
      <c r="E600" s="73"/>
      <c r="F600" s="73"/>
      <c r="G600" s="74"/>
      <c r="H600" s="74"/>
    </row>
    <row r="601" spans="1:8" ht="15" hidden="1" customHeight="1" x14ac:dyDescent="0.25">
      <c r="A601" s="71" t="s">
        <v>346</v>
      </c>
      <c r="B601" s="72" t="s">
        <v>324</v>
      </c>
      <c r="C601" s="72" t="s">
        <v>339</v>
      </c>
      <c r="D601" s="73"/>
      <c r="E601" s="73"/>
      <c r="F601" s="73"/>
      <c r="G601" s="74"/>
      <c r="H601" s="74"/>
    </row>
    <row r="602" spans="1:8" ht="30" hidden="1" x14ac:dyDescent="0.25">
      <c r="A602" s="71" t="s">
        <v>347</v>
      </c>
      <c r="B602" s="72" t="s">
        <v>324</v>
      </c>
      <c r="C602" s="72" t="s">
        <v>339</v>
      </c>
      <c r="D602" s="73"/>
      <c r="E602" s="73"/>
      <c r="F602" s="73"/>
      <c r="H602" s="74"/>
    </row>
    <row r="603" spans="1:8" ht="14.25" hidden="1" customHeight="1" x14ac:dyDescent="0.25">
      <c r="A603" s="71" t="s">
        <v>348</v>
      </c>
      <c r="B603" s="72" t="s">
        <v>324</v>
      </c>
      <c r="C603" s="72" t="s">
        <v>339</v>
      </c>
      <c r="D603" s="73"/>
      <c r="E603" s="73"/>
      <c r="F603" s="73"/>
      <c r="H603" s="74"/>
    </row>
    <row r="604" spans="1:8" ht="14.25" hidden="1" customHeight="1" x14ac:dyDescent="0.25">
      <c r="A604" s="71" t="s">
        <v>349</v>
      </c>
      <c r="B604" s="72" t="s">
        <v>324</v>
      </c>
      <c r="C604" s="72" t="s">
        <v>339</v>
      </c>
      <c r="D604" s="73"/>
      <c r="E604" s="73"/>
      <c r="F604" s="73"/>
      <c r="H604" s="74"/>
    </row>
    <row r="605" spans="1:8" ht="14.25" hidden="1" customHeight="1" x14ac:dyDescent="0.25">
      <c r="A605" s="71" t="s">
        <v>350</v>
      </c>
      <c r="B605" s="72" t="s">
        <v>324</v>
      </c>
      <c r="C605" s="72" t="s">
        <v>339</v>
      </c>
      <c r="D605" s="73"/>
      <c r="E605" s="73"/>
      <c r="F605" s="73"/>
      <c r="H605" s="74"/>
    </row>
    <row r="606" spans="1:8" ht="14.25" hidden="1" customHeight="1" x14ac:dyDescent="0.25">
      <c r="A606" s="71" t="s">
        <v>351</v>
      </c>
      <c r="B606" s="72" t="s">
        <v>324</v>
      </c>
      <c r="C606" s="72" t="s">
        <v>339</v>
      </c>
      <c r="D606" s="73"/>
      <c r="E606" s="73"/>
      <c r="F606" s="73"/>
      <c r="H606" s="74"/>
    </row>
    <row r="607" spans="1:8" ht="14.25" hidden="1" customHeight="1" x14ac:dyDescent="0.25">
      <c r="A607" s="71" t="s">
        <v>352</v>
      </c>
      <c r="B607" s="72" t="s">
        <v>324</v>
      </c>
      <c r="C607" s="72" t="s">
        <v>339</v>
      </c>
      <c r="D607" s="73"/>
      <c r="E607" s="73"/>
      <c r="F607" s="73"/>
      <c r="H607" s="74"/>
    </row>
    <row r="608" spans="1:8" ht="14.25" hidden="1" customHeight="1" x14ac:dyDescent="0.25">
      <c r="A608" s="71" t="s">
        <v>353</v>
      </c>
      <c r="B608" s="72" t="s">
        <v>324</v>
      </c>
      <c r="C608" s="72" t="s">
        <v>339</v>
      </c>
      <c r="D608" s="73"/>
      <c r="E608" s="73"/>
      <c r="F608" s="73"/>
      <c r="H608" s="74"/>
    </row>
    <row r="609" spans="1:8" ht="14.25" hidden="1" customHeight="1" x14ac:dyDescent="0.25">
      <c r="A609" s="71" t="s">
        <v>354</v>
      </c>
      <c r="B609" s="72" t="s">
        <v>324</v>
      </c>
      <c r="C609" s="72" t="s">
        <v>339</v>
      </c>
      <c r="D609" s="73"/>
      <c r="E609" s="73"/>
      <c r="F609" s="73"/>
      <c r="H609" s="74"/>
    </row>
    <row r="610" spans="1:8" ht="14.25" hidden="1" customHeight="1" x14ac:dyDescent="0.25">
      <c r="A610" s="71" t="s">
        <v>355</v>
      </c>
      <c r="B610" s="72" t="s">
        <v>324</v>
      </c>
      <c r="C610" s="72" t="s">
        <v>339</v>
      </c>
      <c r="D610" s="73"/>
      <c r="E610" s="73"/>
      <c r="F610" s="73"/>
      <c r="H610" s="74"/>
    </row>
    <row r="611" spans="1:8" ht="14.25" hidden="1" customHeight="1" x14ac:dyDescent="0.25">
      <c r="A611" s="71" t="s">
        <v>356</v>
      </c>
      <c r="B611" s="72" t="s">
        <v>324</v>
      </c>
      <c r="C611" s="72" t="s">
        <v>339</v>
      </c>
      <c r="D611" s="73"/>
      <c r="E611" s="73"/>
      <c r="F611" s="73"/>
      <c r="H611" s="74"/>
    </row>
    <row r="612" spans="1:8" ht="14.25" hidden="1" customHeight="1" x14ac:dyDescent="0.25">
      <c r="A612" s="71" t="s">
        <v>357</v>
      </c>
      <c r="B612" s="72" t="s">
        <v>324</v>
      </c>
      <c r="C612" s="72" t="s">
        <v>339</v>
      </c>
      <c r="D612" s="73"/>
      <c r="E612" s="73"/>
      <c r="F612" s="73"/>
      <c r="H612" s="74"/>
    </row>
    <row r="613" spans="1:8" s="58" customFormat="1" ht="18" hidden="1" customHeight="1" x14ac:dyDescent="0.2">
      <c r="A613" s="77" t="s">
        <v>359</v>
      </c>
      <c r="B613" s="78" t="s">
        <v>324</v>
      </c>
      <c r="C613" s="78" t="s">
        <v>317</v>
      </c>
      <c r="D613" s="80">
        <f>SUM(D614:D623)</f>
        <v>0</v>
      </c>
      <c r="E613" s="80">
        <f t="shared" ref="E613:F613" si="64">SUM(E614:E623)</f>
        <v>0</v>
      </c>
      <c r="F613" s="80">
        <f t="shared" si="64"/>
        <v>0</v>
      </c>
      <c r="G613" s="81"/>
      <c r="H613" s="81"/>
    </row>
    <row r="614" spans="1:8" s="76" customFormat="1" hidden="1" x14ac:dyDescent="0.25">
      <c r="A614" s="71" t="s">
        <v>360</v>
      </c>
      <c r="B614" s="72" t="s">
        <v>324</v>
      </c>
      <c r="C614" s="72" t="s">
        <v>317</v>
      </c>
      <c r="D614" s="73"/>
      <c r="E614" s="73"/>
      <c r="F614" s="73"/>
      <c r="G614" s="63"/>
      <c r="H614" s="74"/>
    </row>
    <row r="615" spans="1:8" ht="14.25" hidden="1" customHeight="1" x14ac:dyDescent="0.25">
      <c r="A615" s="71" t="s">
        <v>362</v>
      </c>
      <c r="B615" s="72" t="s">
        <v>324</v>
      </c>
      <c r="C615" s="72" t="s">
        <v>317</v>
      </c>
      <c r="D615" s="73"/>
      <c r="E615" s="73"/>
      <c r="F615" s="73"/>
      <c r="H615" s="74"/>
    </row>
    <row r="616" spans="1:8" ht="14.25" hidden="1" customHeight="1" x14ac:dyDescent="0.25">
      <c r="A616" s="71" t="s">
        <v>363</v>
      </c>
      <c r="B616" s="72" t="s">
        <v>324</v>
      </c>
      <c r="C616" s="72" t="s">
        <v>317</v>
      </c>
      <c r="D616" s="73"/>
      <c r="E616" s="73"/>
      <c r="F616" s="73"/>
      <c r="H616" s="74"/>
    </row>
    <row r="617" spans="1:8" ht="14.25" hidden="1" customHeight="1" x14ac:dyDescent="0.25">
      <c r="A617" s="71" t="s">
        <v>364</v>
      </c>
      <c r="B617" s="72" t="s">
        <v>324</v>
      </c>
      <c r="C617" s="72" t="s">
        <v>317</v>
      </c>
      <c r="D617" s="73"/>
      <c r="E617" s="73"/>
      <c r="F617" s="73"/>
      <c r="H617" s="74"/>
    </row>
    <row r="618" spans="1:8" ht="14.25" hidden="1" customHeight="1" x14ac:dyDescent="0.25">
      <c r="A618" s="71" t="s">
        <v>365</v>
      </c>
      <c r="B618" s="72" t="s">
        <v>324</v>
      </c>
      <c r="C618" s="72" t="s">
        <v>317</v>
      </c>
      <c r="D618" s="73"/>
      <c r="E618" s="73"/>
      <c r="F618" s="73"/>
      <c r="H618" s="74"/>
    </row>
    <row r="619" spans="1:8" ht="14.25" hidden="1" customHeight="1" x14ac:dyDescent="0.25">
      <c r="A619" s="71" t="s">
        <v>366</v>
      </c>
      <c r="B619" s="72" t="s">
        <v>324</v>
      </c>
      <c r="C619" s="72" t="s">
        <v>317</v>
      </c>
      <c r="D619" s="73"/>
      <c r="E619" s="73"/>
      <c r="F619" s="73"/>
      <c r="H619" s="74"/>
    </row>
    <row r="620" spans="1:8" ht="14.25" hidden="1" customHeight="1" x14ac:dyDescent="0.25">
      <c r="A620" s="71" t="s">
        <v>367</v>
      </c>
      <c r="B620" s="72" t="s">
        <v>324</v>
      </c>
      <c r="C620" s="72" t="s">
        <v>317</v>
      </c>
      <c r="D620" s="73"/>
      <c r="E620" s="73"/>
      <c r="F620" s="73"/>
      <c r="H620" s="74"/>
    </row>
    <row r="621" spans="1:8" ht="14.25" hidden="1" customHeight="1" x14ac:dyDescent="0.25">
      <c r="A621" s="71" t="s">
        <v>368</v>
      </c>
      <c r="B621" s="72" t="s">
        <v>324</v>
      </c>
      <c r="C621" s="72" t="s">
        <v>317</v>
      </c>
      <c r="D621" s="73"/>
      <c r="E621" s="73"/>
      <c r="F621" s="73"/>
      <c r="H621" s="74"/>
    </row>
    <row r="622" spans="1:8" ht="14.25" hidden="1" customHeight="1" x14ac:dyDescent="0.25">
      <c r="A622" s="71" t="s">
        <v>369</v>
      </c>
      <c r="B622" s="72" t="s">
        <v>324</v>
      </c>
      <c r="C622" s="72" t="s">
        <v>317</v>
      </c>
      <c r="D622" s="73"/>
      <c r="E622" s="73"/>
      <c r="F622" s="73"/>
      <c r="H622" s="74"/>
    </row>
    <row r="623" spans="1:8" ht="14.25" hidden="1" customHeight="1" x14ac:dyDescent="0.25">
      <c r="A623" s="71" t="s">
        <v>370</v>
      </c>
      <c r="B623" s="72" t="s">
        <v>324</v>
      </c>
      <c r="C623" s="72" t="s">
        <v>317</v>
      </c>
      <c r="D623" s="73"/>
      <c r="E623" s="73"/>
      <c r="F623" s="73"/>
      <c r="H623" s="74"/>
    </row>
    <row r="624" spans="1:8" hidden="1" x14ac:dyDescent="0.25">
      <c r="A624" s="77" t="s">
        <v>371</v>
      </c>
      <c r="B624" s="78" t="s">
        <v>372</v>
      </c>
      <c r="C624" s="78" t="s">
        <v>373</v>
      </c>
      <c r="D624" s="79"/>
      <c r="E624" s="79"/>
      <c r="F624" s="79"/>
      <c r="H624" s="74"/>
    </row>
    <row r="625" spans="1:8" s="76" customFormat="1" hidden="1" x14ac:dyDescent="0.25">
      <c r="A625" s="71" t="s">
        <v>374</v>
      </c>
      <c r="B625" s="72" t="s">
        <v>376</v>
      </c>
      <c r="C625" s="72" t="s">
        <v>377</v>
      </c>
      <c r="D625" s="73"/>
      <c r="E625" s="73"/>
      <c r="F625" s="73"/>
      <c r="G625" s="75"/>
      <c r="H625" s="75"/>
    </row>
    <row r="626" spans="1:8" s="76" customFormat="1" hidden="1" x14ac:dyDescent="0.25">
      <c r="A626" s="71" t="s">
        <v>378</v>
      </c>
      <c r="B626" s="72" t="s">
        <v>379</v>
      </c>
      <c r="C626" s="72" t="s">
        <v>380</v>
      </c>
      <c r="D626" s="73"/>
      <c r="E626" s="73"/>
      <c r="F626" s="73"/>
      <c r="H626" s="75"/>
    </row>
    <row r="627" spans="1:8" ht="15" hidden="1" customHeight="1" x14ac:dyDescent="0.25">
      <c r="A627" s="71" t="s">
        <v>381</v>
      </c>
      <c r="B627" s="72" t="s">
        <v>383</v>
      </c>
      <c r="C627" s="72" t="s">
        <v>377</v>
      </c>
      <c r="D627" s="73"/>
      <c r="E627" s="73"/>
      <c r="F627" s="73"/>
      <c r="G627" s="74"/>
      <c r="H627" s="74"/>
    </row>
    <row r="628" spans="1:8" hidden="1" x14ac:dyDescent="0.25">
      <c r="A628" s="71" t="s">
        <v>384</v>
      </c>
      <c r="B628" s="72" t="s">
        <v>383</v>
      </c>
      <c r="C628" s="72" t="s">
        <v>377</v>
      </c>
      <c r="D628" s="73"/>
      <c r="E628" s="73"/>
      <c r="F628" s="73"/>
      <c r="G628" s="74"/>
      <c r="H628" s="74"/>
    </row>
    <row r="629" spans="1:8" s="76" customFormat="1" hidden="1" x14ac:dyDescent="0.25">
      <c r="A629" s="82" t="s">
        <v>385</v>
      </c>
      <c r="B629" s="83" t="s">
        <v>324</v>
      </c>
      <c r="C629" s="72" t="s">
        <v>386</v>
      </c>
      <c r="D629" s="73"/>
      <c r="E629" s="73"/>
      <c r="F629" s="73"/>
      <c r="G629" s="75"/>
      <c r="H629" s="75"/>
    </row>
    <row r="630" spans="1:8" s="58" customFormat="1" ht="28.5" hidden="1" x14ac:dyDescent="0.2">
      <c r="A630" s="77" t="s">
        <v>387</v>
      </c>
      <c r="B630" s="78" t="s">
        <v>324</v>
      </c>
      <c r="C630" s="78" t="s">
        <v>388</v>
      </c>
      <c r="D630" s="80">
        <f>SUM(D631:D634)</f>
        <v>0</v>
      </c>
      <c r="E630" s="80">
        <f t="shared" ref="E630:F630" si="65">SUM(E631:E634)</f>
        <v>0</v>
      </c>
      <c r="F630" s="80">
        <f t="shared" si="65"/>
        <v>0</v>
      </c>
      <c r="G630" s="81"/>
      <c r="H630" s="81"/>
    </row>
    <row r="631" spans="1:8" s="76" customFormat="1" ht="15" hidden="1" customHeight="1" x14ac:dyDescent="0.25">
      <c r="A631" s="82" t="s">
        <v>389</v>
      </c>
      <c r="B631" s="83" t="s">
        <v>324</v>
      </c>
      <c r="C631" s="72" t="s">
        <v>390</v>
      </c>
      <c r="D631" s="73"/>
      <c r="E631" s="73"/>
      <c r="F631" s="73"/>
      <c r="G631" s="75"/>
      <c r="H631" s="75"/>
    </row>
    <row r="632" spans="1:8" s="76" customFormat="1" ht="15" hidden="1" customHeight="1" x14ac:dyDescent="0.25">
      <c r="A632" s="82" t="s">
        <v>391</v>
      </c>
      <c r="B632" s="83" t="s">
        <v>324</v>
      </c>
      <c r="C632" s="72" t="s">
        <v>392</v>
      </c>
      <c r="D632" s="73"/>
      <c r="E632" s="73"/>
      <c r="F632" s="73"/>
      <c r="G632" s="75"/>
      <c r="H632" s="75"/>
    </row>
    <row r="633" spans="1:8" s="76" customFormat="1" ht="15" hidden="1" customHeight="1" x14ac:dyDescent="0.25">
      <c r="A633" s="82" t="s">
        <v>393</v>
      </c>
      <c r="B633" s="83" t="s">
        <v>324</v>
      </c>
      <c r="C633" s="72" t="s">
        <v>392</v>
      </c>
      <c r="D633" s="73"/>
      <c r="E633" s="73"/>
      <c r="F633" s="73"/>
      <c r="G633" s="75"/>
      <c r="H633" s="75"/>
    </row>
    <row r="634" spans="1:8" s="76" customFormat="1" ht="15" hidden="1" customHeight="1" x14ac:dyDescent="0.25">
      <c r="A634" s="82" t="s">
        <v>394</v>
      </c>
      <c r="B634" s="83" t="s">
        <v>324</v>
      </c>
      <c r="C634" s="72" t="s">
        <v>392</v>
      </c>
      <c r="D634" s="73"/>
      <c r="E634" s="73"/>
      <c r="F634" s="73"/>
      <c r="G634" s="75"/>
      <c r="H634" s="75"/>
    </row>
    <row r="635" spans="1:8" ht="31.5" customHeight="1" x14ac:dyDescent="0.25">
      <c r="A635" s="95"/>
      <c r="B635" s="97"/>
      <c r="C635" s="97"/>
      <c r="D635" s="98"/>
      <c r="E635" s="98"/>
      <c r="F635" s="98"/>
    </row>
    <row r="636" spans="1:8" x14ac:dyDescent="0.25">
      <c r="A636" s="95" t="s">
        <v>430</v>
      </c>
      <c r="B636" s="97">
        <v>244</v>
      </c>
      <c r="C636" s="97"/>
      <c r="D636" s="98">
        <f>SUM(D58,D61,D62,D63,D64,D65,D81,D98,D97)</f>
        <v>7286335.9499999993</v>
      </c>
      <c r="E636" s="98">
        <f t="shared" ref="E636:F636" si="66">SUM(E58,E61,E62,E63,E64,E65,E81,E98,E97)</f>
        <v>0</v>
      </c>
      <c r="F636" s="98">
        <f t="shared" si="66"/>
        <v>0</v>
      </c>
    </row>
    <row r="637" spans="1:8" x14ac:dyDescent="0.25">
      <c r="A637" s="95"/>
      <c r="B637" s="97"/>
      <c r="C637" s="97">
        <v>220</v>
      </c>
      <c r="D637" s="98">
        <f t="shared" ref="D637:F637" si="67">D636-D638-D639</f>
        <v>218637.29000000004</v>
      </c>
      <c r="E637" s="98">
        <f t="shared" si="67"/>
        <v>0</v>
      </c>
      <c r="F637" s="98">
        <f t="shared" si="67"/>
        <v>0</v>
      </c>
    </row>
    <row r="638" spans="1:8" x14ac:dyDescent="0.25">
      <c r="A638" s="95"/>
      <c r="B638" s="97"/>
      <c r="C638" s="97">
        <v>310</v>
      </c>
      <c r="D638" s="98">
        <f>SUM(D97)</f>
        <v>1332.65</v>
      </c>
      <c r="E638" s="98">
        <f t="shared" ref="E638:F639" si="68">SUM(E97)</f>
        <v>0</v>
      </c>
      <c r="F638" s="98">
        <f t="shared" si="68"/>
        <v>0</v>
      </c>
    </row>
    <row r="639" spans="1:8" x14ac:dyDescent="0.25">
      <c r="A639" s="95"/>
      <c r="B639" s="97"/>
      <c r="C639" s="97">
        <v>340</v>
      </c>
      <c r="D639" s="98">
        <f>SUM(D98)</f>
        <v>7066366.0099999988</v>
      </c>
      <c r="E639" s="98">
        <f t="shared" si="68"/>
        <v>0</v>
      </c>
      <c r="F639" s="98">
        <f t="shared" si="68"/>
        <v>0</v>
      </c>
    </row>
    <row r="640" spans="1:8" x14ac:dyDescent="0.25">
      <c r="D640" s="62"/>
      <c r="E640" s="62"/>
      <c r="F640" s="62"/>
    </row>
    <row r="641" spans="4:6" x14ac:dyDescent="0.25">
      <c r="D641" s="62"/>
      <c r="E641" s="62"/>
      <c r="F641" s="62"/>
    </row>
    <row r="642" spans="4:6" x14ac:dyDescent="0.25">
      <c r="D642" s="62"/>
      <c r="E642" s="62"/>
      <c r="F642" s="62"/>
    </row>
    <row r="643" spans="4:6" x14ac:dyDescent="0.25">
      <c r="D643" s="62"/>
      <c r="E643" s="62"/>
      <c r="F643" s="62"/>
    </row>
    <row r="644" spans="4:6" x14ac:dyDescent="0.25">
      <c r="D644" s="62"/>
      <c r="E644" s="62"/>
      <c r="F644" s="62"/>
    </row>
    <row r="645" spans="4:6" x14ac:dyDescent="0.25">
      <c r="D645" s="62"/>
      <c r="E645" s="62"/>
      <c r="F645" s="62"/>
    </row>
    <row r="646" spans="4:6" x14ac:dyDescent="0.25">
      <c r="D646" s="62"/>
      <c r="E646" s="62"/>
      <c r="F646" s="62"/>
    </row>
    <row r="647" spans="4:6" x14ac:dyDescent="0.25">
      <c r="D647" s="62"/>
      <c r="E647" s="62"/>
      <c r="F647" s="62"/>
    </row>
    <row r="648" spans="4:6" x14ac:dyDescent="0.25">
      <c r="D648" s="62"/>
      <c r="E648" s="62"/>
      <c r="F648" s="62"/>
    </row>
    <row r="649" spans="4:6" x14ac:dyDescent="0.25">
      <c r="D649" s="62"/>
      <c r="E649" s="62"/>
      <c r="F649" s="62"/>
    </row>
    <row r="650" spans="4:6" x14ac:dyDescent="0.25">
      <c r="D650" s="62"/>
      <c r="E650" s="62"/>
      <c r="F650" s="62"/>
    </row>
    <row r="651" spans="4:6" x14ac:dyDescent="0.25">
      <c r="D651" s="62"/>
      <c r="E651" s="62"/>
      <c r="F651" s="62"/>
    </row>
    <row r="652" spans="4:6" x14ac:dyDescent="0.25">
      <c r="D652" s="62"/>
      <c r="E652" s="62"/>
      <c r="F652" s="62"/>
    </row>
    <row r="653" spans="4:6" x14ac:dyDescent="0.25">
      <c r="D653" s="62"/>
      <c r="E653" s="62"/>
      <c r="F653" s="62"/>
    </row>
    <row r="654" spans="4:6" x14ac:dyDescent="0.25">
      <c r="D654" s="62"/>
      <c r="E654" s="62"/>
      <c r="F654" s="62"/>
    </row>
    <row r="655" spans="4:6" x14ac:dyDescent="0.25">
      <c r="D655" s="62"/>
      <c r="E655" s="62"/>
      <c r="F655" s="62"/>
    </row>
    <row r="656" spans="4:6" x14ac:dyDescent="0.25">
      <c r="D656" s="62"/>
      <c r="E656" s="62"/>
      <c r="F656" s="62"/>
    </row>
    <row r="657" spans="4:6" x14ac:dyDescent="0.25">
      <c r="D657" s="62"/>
      <c r="E657" s="62"/>
      <c r="F657" s="62"/>
    </row>
    <row r="658" spans="4:6" x14ac:dyDescent="0.25">
      <c r="D658" s="62"/>
      <c r="E658" s="62"/>
      <c r="F658" s="62"/>
    </row>
    <row r="659" spans="4:6" x14ac:dyDescent="0.25">
      <c r="D659" s="62"/>
      <c r="E659" s="62"/>
      <c r="F659" s="62"/>
    </row>
    <row r="660" spans="4:6" x14ac:dyDescent="0.25">
      <c r="D660" s="62"/>
      <c r="E660" s="62"/>
      <c r="F660" s="62"/>
    </row>
    <row r="661" spans="4:6" x14ac:dyDescent="0.25">
      <c r="D661" s="62"/>
      <c r="E661" s="62"/>
      <c r="F661" s="62"/>
    </row>
    <row r="662" spans="4:6" x14ac:dyDescent="0.25">
      <c r="D662" s="62"/>
      <c r="E662" s="62"/>
      <c r="F662" s="62"/>
    </row>
    <row r="663" spans="4:6" x14ac:dyDescent="0.25">
      <c r="D663" s="62"/>
      <c r="E663" s="62"/>
      <c r="F663" s="62"/>
    </row>
    <row r="664" spans="4:6" x14ac:dyDescent="0.25">
      <c r="D664" s="62"/>
      <c r="E664" s="62"/>
      <c r="F664" s="62"/>
    </row>
    <row r="665" spans="4:6" x14ac:dyDescent="0.25">
      <c r="D665" s="62"/>
      <c r="E665" s="62"/>
      <c r="F665" s="62"/>
    </row>
    <row r="666" spans="4:6" x14ac:dyDescent="0.25">
      <c r="D666" s="62"/>
      <c r="E666" s="62"/>
      <c r="F666" s="62"/>
    </row>
    <row r="667" spans="4:6" x14ac:dyDescent="0.25">
      <c r="D667" s="62"/>
      <c r="E667" s="62"/>
      <c r="F667" s="62"/>
    </row>
    <row r="668" spans="4:6" x14ac:dyDescent="0.25">
      <c r="D668" s="62"/>
      <c r="E668" s="62"/>
      <c r="F668" s="62"/>
    </row>
    <row r="669" spans="4:6" x14ac:dyDescent="0.25">
      <c r="D669" s="62"/>
      <c r="E669" s="62"/>
      <c r="F669" s="62"/>
    </row>
    <row r="670" spans="4:6" x14ac:dyDescent="0.25">
      <c r="D670" s="62"/>
      <c r="E670" s="62"/>
      <c r="F670" s="62"/>
    </row>
    <row r="671" spans="4:6" x14ac:dyDescent="0.25">
      <c r="D671" s="62"/>
      <c r="E671" s="62"/>
      <c r="F671" s="62"/>
    </row>
    <row r="672" spans="4:6" x14ac:dyDescent="0.25">
      <c r="D672" s="62"/>
      <c r="E672" s="62"/>
      <c r="F672" s="62"/>
    </row>
    <row r="673" spans="4:6" x14ac:dyDescent="0.25">
      <c r="D673" s="62"/>
      <c r="E673" s="62"/>
      <c r="F673" s="62"/>
    </row>
    <row r="674" spans="4:6" x14ac:dyDescent="0.25">
      <c r="D674" s="62"/>
      <c r="E674" s="62"/>
      <c r="F674" s="62"/>
    </row>
    <row r="675" spans="4:6" x14ac:dyDescent="0.25">
      <c r="D675" s="62"/>
      <c r="E675" s="62"/>
      <c r="F675" s="62"/>
    </row>
    <row r="676" spans="4:6" x14ac:dyDescent="0.25">
      <c r="D676" s="62"/>
      <c r="E676" s="62"/>
      <c r="F676" s="62"/>
    </row>
  </sheetData>
  <autoFilter ref="A6:J6"/>
  <mergeCells count="4">
    <mergeCell ref="A4:A5"/>
    <mergeCell ref="B4:B5"/>
    <mergeCell ref="C4:C5"/>
    <mergeCell ref="D4:F4"/>
  </mergeCells>
  <pageMargins left="0" right="0" top="0" bottom="0" header="0" footer="0"/>
  <pageSetup paperSize="9" scale="86" fitToHeight="0" orientation="landscape" r:id="rId1"/>
  <rowBreaks count="1" manualBreakCount="1">
    <brk id="5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"/>
  <sheetViews>
    <sheetView workbookViewId="0">
      <pane xSplit="2" ySplit="5" topLeftCell="C6" activePane="bottomRight" state="frozen"/>
      <selection activeCell="B169" sqref="B169:I169"/>
      <selection pane="topRight" activeCell="B169" sqref="B169:I169"/>
      <selection pane="bottomLeft" activeCell="B169" sqref="B169:I169"/>
      <selection pane="bottomRight" activeCell="C8" sqref="C8"/>
    </sheetView>
  </sheetViews>
  <sheetFormatPr defaultRowHeight="15" x14ac:dyDescent="0.25"/>
  <cols>
    <col min="2" max="2" width="40.7109375" customWidth="1"/>
    <col min="3" max="5" width="13.5703125" customWidth="1"/>
    <col min="6" max="17" width="12" customWidth="1"/>
    <col min="18" max="20" width="13.28515625" customWidth="1"/>
    <col min="21" max="23" width="12" customWidth="1"/>
  </cols>
  <sheetData>
    <row r="1" spans="2:23" x14ac:dyDescent="0.25">
      <c r="B1" s="531" t="str">
        <f>Форма!B43</f>
        <v>Учреждение (обособленное подразделение)</v>
      </c>
      <c r="C1" s="532" t="s">
        <v>431</v>
      </c>
      <c r="D1" s="533"/>
      <c r="E1" s="534"/>
      <c r="F1" s="538" t="s">
        <v>432</v>
      </c>
      <c r="G1" s="539"/>
      <c r="H1" s="539"/>
      <c r="I1" s="539"/>
      <c r="J1" s="539"/>
      <c r="K1" s="539"/>
      <c r="L1" s="539"/>
      <c r="M1" s="539"/>
      <c r="N1" s="539"/>
      <c r="O1" s="539" t="s">
        <v>433</v>
      </c>
      <c r="P1" s="539"/>
      <c r="Q1" s="539"/>
      <c r="R1" s="539"/>
      <c r="S1" s="539"/>
      <c r="T1" s="539"/>
      <c r="U1" s="539"/>
      <c r="V1" s="539"/>
      <c r="W1" s="539"/>
    </row>
    <row r="2" spans="2:23" ht="15.75" thickBot="1" x14ac:dyDescent="0.3">
      <c r="B2" s="531"/>
      <c r="C2" s="535"/>
      <c r="D2" s="536"/>
      <c r="E2" s="537"/>
      <c r="F2" s="530" t="s">
        <v>434</v>
      </c>
      <c r="G2" s="526"/>
      <c r="H2" s="526"/>
      <c r="I2" s="526" t="s">
        <v>435</v>
      </c>
      <c r="J2" s="526"/>
      <c r="K2" s="526"/>
      <c r="L2" s="526"/>
      <c r="M2" s="526"/>
      <c r="N2" s="526"/>
      <c r="O2" s="526" t="s">
        <v>436</v>
      </c>
      <c r="P2" s="526"/>
      <c r="Q2" s="526"/>
      <c r="R2" s="541" t="s">
        <v>437</v>
      </c>
      <c r="S2" s="541"/>
      <c r="T2" s="541"/>
      <c r="U2" s="526"/>
      <c r="V2" s="526"/>
      <c r="W2" s="526"/>
    </row>
    <row r="3" spans="2:23" x14ac:dyDescent="0.25">
      <c r="B3" s="542" t="str">
        <f>'Утверждено (МЗ,ИЦ,КАП)'!A2</f>
        <v>Муниципальное автономное дошкольное образовательное  учреждение № 10 "Детский сад комбинированного вида"</v>
      </c>
      <c r="C3" s="535"/>
      <c r="D3" s="536"/>
      <c r="E3" s="537"/>
      <c r="F3" s="530"/>
      <c r="G3" s="526"/>
      <c r="H3" s="526"/>
      <c r="I3" s="526" t="s">
        <v>290</v>
      </c>
      <c r="J3" s="526"/>
      <c r="K3" s="526"/>
      <c r="L3" s="526" t="s">
        <v>438</v>
      </c>
      <c r="M3" s="526"/>
      <c r="N3" s="526"/>
      <c r="O3" s="526"/>
      <c r="P3" s="526"/>
      <c r="Q3" s="540"/>
      <c r="R3" s="527" t="s">
        <v>439</v>
      </c>
      <c r="S3" s="528"/>
      <c r="T3" s="529"/>
      <c r="U3" s="530" t="s">
        <v>440</v>
      </c>
      <c r="V3" s="526"/>
      <c r="W3" s="526"/>
    </row>
    <row r="4" spans="2:23" s="11" customFormat="1" ht="60" x14ac:dyDescent="0.25">
      <c r="B4" s="543"/>
      <c r="C4" s="117" t="str">
        <f>Форма!F177</f>
        <v>на 2023 г. текущий финансовый год</v>
      </c>
      <c r="D4" s="118" t="str">
        <f>Форма!G177</f>
        <v>на 2024 г. первый год планового периода</v>
      </c>
      <c r="E4" s="119" t="str">
        <f>Форма!H177</f>
        <v>на 2025 г. второй год планового периода</v>
      </c>
      <c r="F4" s="120" t="str">
        <f>C4</f>
        <v>на 2023 г. текущий финансовый год</v>
      </c>
      <c r="G4" s="118" t="str">
        <f t="shared" ref="G4:N4" si="0">D4</f>
        <v>на 2024 г. первый год планового периода</v>
      </c>
      <c r="H4" s="118" t="str">
        <f t="shared" si="0"/>
        <v>на 2025 г. второй год планового периода</v>
      </c>
      <c r="I4" s="118" t="str">
        <f t="shared" si="0"/>
        <v>на 2023 г. текущий финансовый год</v>
      </c>
      <c r="J4" s="118" t="str">
        <f t="shared" si="0"/>
        <v>на 2024 г. первый год планового периода</v>
      </c>
      <c r="K4" s="118" t="str">
        <f t="shared" si="0"/>
        <v>на 2025 г. второй год планового периода</v>
      </c>
      <c r="L4" s="118" t="str">
        <f t="shared" si="0"/>
        <v>на 2023 г. текущий финансовый год</v>
      </c>
      <c r="M4" s="118" t="str">
        <f t="shared" si="0"/>
        <v>на 2024 г. первый год планового периода</v>
      </c>
      <c r="N4" s="118" t="str">
        <f t="shared" si="0"/>
        <v>на 2025 г. второй год планового периода</v>
      </c>
      <c r="O4" s="118" t="str">
        <f>L4</f>
        <v>на 2023 г. текущий финансовый год</v>
      </c>
      <c r="P4" s="118" t="str">
        <f t="shared" ref="P4:W4" si="1">M4</f>
        <v>на 2024 г. первый год планового периода</v>
      </c>
      <c r="Q4" s="121" t="str">
        <f t="shared" si="1"/>
        <v>на 2025 г. второй год планового периода</v>
      </c>
      <c r="R4" s="117" t="str">
        <f t="shared" si="1"/>
        <v>на 2023 г. текущий финансовый год</v>
      </c>
      <c r="S4" s="118" t="str">
        <f t="shared" si="1"/>
        <v>на 2024 г. первый год планового периода</v>
      </c>
      <c r="T4" s="119" t="str">
        <f t="shared" si="1"/>
        <v>на 2025 г. второй год планового периода</v>
      </c>
      <c r="U4" s="120" t="str">
        <f t="shared" si="1"/>
        <v>на 2023 г. текущий финансовый год</v>
      </c>
      <c r="V4" s="118" t="str">
        <f t="shared" si="1"/>
        <v>на 2024 г. первый год планового периода</v>
      </c>
      <c r="W4" s="118" t="str">
        <f t="shared" si="1"/>
        <v>на 2025 г. второй год планового периода</v>
      </c>
    </row>
    <row r="5" spans="2:23" x14ac:dyDescent="0.25">
      <c r="B5" s="544"/>
      <c r="C5" s="122" t="e">
        <f>SUM(C6:C22)</f>
        <v>#REF!</v>
      </c>
      <c r="D5" s="123" t="e">
        <f t="shared" ref="D5:W5" si="2">SUM(D6:D22)</f>
        <v>#REF!</v>
      </c>
      <c r="E5" s="124" t="e">
        <f t="shared" si="2"/>
        <v>#REF!</v>
      </c>
      <c r="F5" s="125">
        <f t="shared" si="2"/>
        <v>0</v>
      </c>
      <c r="G5" s="123">
        <f t="shared" si="2"/>
        <v>0</v>
      </c>
      <c r="H5" s="123">
        <f t="shared" si="2"/>
        <v>0</v>
      </c>
      <c r="I5" s="123">
        <f t="shared" si="2"/>
        <v>0</v>
      </c>
      <c r="J5" s="123">
        <f t="shared" si="2"/>
        <v>0</v>
      </c>
      <c r="K5" s="123">
        <f t="shared" si="2"/>
        <v>0</v>
      </c>
      <c r="L5" s="123">
        <f t="shared" si="2"/>
        <v>0</v>
      </c>
      <c r="M5" s="123">
        <f t="shared" si="2"/>
        <v>0</v>
      </c>
      <c r="N5" s="123">
        <f t="shared" si="2"/>
        <v>0</v>
      </c>
      <c r="O5" s="123">
        <f t="shared" si="2"/>
        <v>0</v>
      </c>
      <c r="P5" s="123">
        <f t="shared" si="2"/>
        <v>0</v>
      </c>
      <c r="Q5" s="126">
        <f t="shared" si="2"/>
        <v>0</v>
      </c>
      <c r="R5" s="122">
        <f t="shared" si="2"/>
        <v>0</v>
      </c>
      <c r="S5" s="123">
        <f t="shared" si="2"/>
        <v>0</v>
      </c>
      <c r="T5" s="124">
        <f t="shared" si="2"/>
        <v>0</v>
      </c>
      <c r="U5" s="125">
        <f t="shared" si="2"/>
        <v>0</v>
      </c>
      <c r="V5" s="123">
        <f t="shared" si="2"/>
        <v>0</v>
      </c>
      <c r="W5" s="123">
        <f t="shared" si="2"/>
        <v>0</v>
      </c>
    </row>
    <row r="6" spans="2:23" x14ac:dyDescent="0.25">
      <c r="B6" s="127" t="str">
        <f>'Утверждено (МЗ,ИЦ,КАП)'!A6</f>
        <v xml:space="preserve">911 0701 09100 29110 621 241 </v>
      </c>
      <c r="C6" s="128" t="e">
        <f>SUM('Утверждено (МЗ,ИЦ,КАП)'!F13,'Утверждено (МЗ,ИЦ,КАП)'!F16,'Утверждено (МЗ,ИЦ,КАП)'!#REF!,'Утверждено (МЗ,ИЦ,КАП)'!F19,'Утверждено (МЗ,ИЦ,КАП)'!F20,'Утверждено (МЗ,ИЦ,КАП)'!F21,'Утверждено (МЗ,ИЦ,КАП)'!F57,'Утверждено (МЗ,ИЦ,КАП)'!F60,'Утверждено (МЗ,ИЦ,КАП)'!F90,'Утверждено (МЗ,ИЦ,КАП)'!F91)</f>
        <v>#REF!</v>
      </c>
      <c r="D6" s="129" t="e">
        <f>SUM('Утверждено (МЗ,ИЦ,КАП)'!G13,'Утверждено (МЗ,ИЦ,КАП)'!G16,'Утверждено (МЗ,ИЦ,КАП)'!#REF!,'Утверждено (МЗ,ИЦ,КАП)'!G19,'Утверждено (МЗ,ИЦ,КАП)'!G20,'Утверждено (МЗ,ИЦ,КАП)'!G21,'Утверждено (МЗ,ИЦ,КАП)'!G57,'Утверждено (МЗ,ИЦ,КАП)'!G60,'Утверждено (МЗ,ИЦ,КАП)'!G90,'Утверждено (МЗ,ИЦ,КАП)'!G91)</f>
        <v>#REF!</v>
      </c>
      <c r="E6" s="130" t="e">
        <f>SUM('Утверждено (МЗ,ИЦ,КАП)'!H13,'Утверждено (МЗ,ИЦ,КАП)'!H16,'Утверждено (МЗ,ИЦ,КАП)'!#REF!,'Утверждено (МЗ,ИЦ,КАП)'!H19,'Утверждено (МЗ,ИЦ,КАП)'!H20,'Утверждено (МЗ,ИЦ,КАП)'!H21,'Утверждено (МЗ,ИЦ,КАП)'!H57,'Утверждено (МЗ,ИЦ,КАП)'!H60,'Утверждено (МЗ,ИЦ,КАП)'!H90,'Утверждено (МЗ,ИЦ,КАП)'!H91)</f>
        <v>#REF!</v>
      </c>
      <c r="F6" s="131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2"/>
      <c r="R6" s="128"/>
      <c r="S6" s="129"/>
      <c r="T6" s="130"/>
      <c r="U6" s="131"/>
      <c r="V6" s="129"/>
      <c r="W6" s="129"/>
    </row>
    <row r="7" spans="2:23" x14ac:dyDescent="0.25">
      <c r="B7" s="127" t="str">
        <f>'Утверждено (МЗ,ИЦ,КАП)'!A104</f>
        <v xml:space="preserve">911 0701 23000 29110 621 241 </v>
      </c>
      <c r="C7" s="128">
        <f>SUM('Утверждено (МЗ,ИЦ,КАП)'!F105,'Утверждено (МЗ,ИЦ,КАП)'!F106,'Утверждено (МЗ,ИЦ,КАП)'!F107,'Утверждено (МЗ,ИЦ,КАП)'!F108,'Утверждено (МЗ,ИЦ,КАП)'!F109,'Утверждено (МЗ,ИЦ,КАП)'!F110)</f>
        <v>1179689.22</v>
      </c>
      <c r="D7" s="129">
        <f>SUM('Утверждено (МЗ,ИЦ,КАП)'!G105,'Утверждено (МЗ,ИЦ,КАП)'!G106,'Утверждено (МЗ,ИЦ,КАП)'!G107,'Утверждено (МЗ,ИЦ,КАП)'!G108,'Утверждено (МЗ,ИЦ,КАП)'!G109,'Утверждено (МЗ,ИЦ,КАП)'!G110)</f>
        <v>634225</v>
      </c>
      <c r="E7" s="130">
        <f>SUM('Утверждено (МЗ,ИЦ,КАП)'!H105,'Утверждено (МЗ,ИЦ,КАП)'!H106,'Утверждено (МЗ,ИЦ,КАП)'!H107,'Утверждено (МЗ,ИЦ,КАП)'!H108,'Утверждено (МЗ,ИЦ,КАП)'!H109,'Утверждено (МЗ,ИЦ,КАП)'!H110)</f>
        <v>634225</v>
      </c>
      <c r="F7" s="131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2"/>
      <c r="R7" s="128"/>
      <c r="S7" s="129"/>
      <c r="T7" s="130"/>
      <c r="U7" s="131"/>
      <c r="V7" s="129"/>
      <c r="W7" s="129"/>
    </row>
    <row r="8" spans="2:23" x14ac:dyDescent="0.25">
      <c r="B8" s="127" t="str">
        <f>'Утверждено (МЗ,ИЦ,КАП)'!A111</f>
        <v>911 0701 21000 29110 621 241</v>
      </c>
      <c r="C8" s="128">
        <f>SUM('Утверждено (МЗ,ИЦ,КАП)'!F112)</f>
        <v>36000</v>
      </c>
      <c r="D8" s="129">
        <f>SUM('Утверждено (МЗ,ИЦ,КАП)'!G112)</f>
        <v>21000</v>
      </c>
      <c r="E8" s="130">
        <f>SUM('Утверждено (МЗ,ИЦ,КАП)'!H112)</f>
        <v>21000</v>
      </c>
      <c r="F8" s="131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2"/>
      <c r="R8" s="128"/>
      <c r="S8" s="129"/>
      <c r="T8" s="130"/>
      <c r="U8" s="131"/>
      <c r="V8" s="129"/>
      <c r="W8" s="129"/>
    </row>
    <row r="9" spans="2:23" x14ac:dyDescent="0.25">
      <c r="B9" s="127" t="str">
        <f>'Утверждено (МЗ,ИЦ,КАП)'!A113</f>
        <v xml:space="preserve">910 0701 09100 71800 621 241 </v>
      </c>
      <c r="C9" s="133"/>
      <c r="D9" s="134"/>
      <c r="E9" s="135"/>
      <c r="F9" s="136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7"/>
      <c r="R9" s="133"/>
      <c r="S9" s="134"/>
      <c r="T9" s="135"/>
      <c r="U9" s="136"/>
      <c r="V9" s="134"/>
      <c r="W9" s="134"/>
    </row>
    <row r="10" spans="2:23" x14ac:dyDescent="0.25">
      <c r="B10" s="127" t="str">
        <f>'Утверждено (МЗ,ИЦ,КАП)'!A159</f>
        <v>911 0701 20300 29110 621 999</v>
      </c>
      <c r="C10" s="133"/>
      <c r="D10" s="134"/>
      <c r="E10" s="135"/>
      <c r="F10" s="136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7"/>
      <c r="R10" s="133"/>
      <c r="S10" s="134"/>
      <c r="T10" s="135"/>
      <c r="U10" s="136"/>
      <c r="V10" s="134"/>
      <c r="W10" s="134"/>
    </row>
    <row r="11" spans="2:23" x14ac:dyDescent="0.25">
      <c r="B11" s="127">
        <f>'Утверждено (МЗ,ИЦ,КАП)'!A179</f>
        <v>0</v>
      </c>
      <c r="C11" s="133"/>
      <c r="D11" s="134"/>
      <c r="E11" s="135"/>
      <c r="F11" s="136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7"/>
      <c r="R11" s="133"/>
      <c r="S11" s="134"/>
      <c r="T11" s="135"/>
      <c r="U11" s="136"/>
      <c r="V11" s="134"/>
      <c r="W11" s="134"/>
    </row>
    <row r="12" spans="2:23" x14ac:dyDescent="0.25">
      <c r="B12" s="127" t="str">
        <f>'Утверждено (МЗ,ИЦ,КАП)'!A198</f>
        <v>911 0701 09100 29110 622 999</v>
      </c>
      <c r="C12" s="133"/>
      <c r="D12" s="134"/>
      <c r="E12" s="135"/>
      <c r="F12" s="136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7"/>
      <c r="R12" s="133"/>
      <c r="S12" s="134"/>
      <c r="T12" s="135"/>
      <c r="U12" s="136"/>
      <c r="V12" s="134"/>
      <c r="W12" s="134"/>
    </row>
    <row r="13" spans="2:23" x14ac:dyDescent="0.25">
      <c r="B13" s="127" t="str">
        <f>'Утверждено (МЗ,ИЦ,КАП)'!A203</f>
        <v xml:space="preserve">991 0701 23000 S1390 622 999 </v>
      </c>
      <c r="C13" s="133"/>
      <c r="D13" s="134"/>
      <c r="E13" s="135"/>
      <c r="F13" s="136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7"/>
      <c r="R13" s="133"/>
      <c r="S13" s="134"/>
      <c r="T13" s="135"/>
      <c r="U13" s="136"/>
      <c r="V13" s="134"/>
      <c r="W13" s="134"/>
    </row>
    <row r="14" spans="2:23" x14ac:dyDescent="0.25">
      <c r="B14" s="127">
        <f>'Утверждено (МЗ,ИЦ,КАП)'!A208</f>
        <v>0</v>
      </c>
      <c r="C14" s="133"/>
      <c r="D14" s="134"/>
      <c r="E14" s="135"/>
      <c r="F14" s="136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7"/>
      <c r="R14" s="133"/>
      <c r="S14" s="134"/>
      <c r="T14" s="135"/>
      <c r="U14" s="136"/>
      <c r="V14" s="134"/>
      <c r="W14" s="134"/>
    </row>
    <row r="15" spans="2:23" x14ac:dyDescent="0.25">
      <c r="B15" s="127" t="str">
        <f>'Утверждено (МЗ,ИЦ,КАП)'!A215</f>
        <v xml:space="preserve">0701 20300 S1480 622 999 </v>
      </c>
      <c r="C15" s="133"/>
      <c r="D15" s="134"/>
      <c r="E15" s="135"/>
      <c r="F15" s="136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7"/>
      <c r="R15" s="133"/>
      <c r="S15" s="134"/>
      <c r="T15" s="135"/>
      <c r="U15" s="136"/>
      <c r="V15" s="134"/>
      <c r="W15" s="134"/>
    </row>
    <row r="16" spans="2:23" x14ac:dyDescent="0.25">
      <c r="B16" s="127" t="str">
        <f>'Утверждено (МЗ,ИЦ,КАП)'!A235</f>
        <v xml:space="preserve">0701 09300 71940 622 999 </v>
      </c>
      <c r="C16" s="133"/>
      <c r="D16" s="134"/>
      <c r="E16" s="135"/>
      <c r="F16" s="136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7"/>
      <c r="R16" s="133"/>
      <c r="S16" s="134"/>
      <c r="T16" s="135"/>
      <c r="U16" s="136"/>
      <c r="V16" s="134"/>
      <c r="W16" s="134"/>
    </row>
    <row r="17" spans="2:23" x14ac:dyDescent="0.25">
      <c r="B17" s="127" t="str">
        <f>'Утверждено (МЗ,ИЦ,КАП)'!A239</f>
        <v>0701 09100 29110 622 999 (КЦ 00500039)</v>
      </c>
      <c r="C17" s="133"/>
      <c r="D17" s="134"/>
      <c r="E17" s="135"/>
      <c r="F17" s="136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7"/>
      <c r="R17" s="133"/>
      <c r="S17" s="134"/>
      <c r="T17" s="135"/>
      <c r="U17" s="136"/>
      <c r="V17" s="134"/>
      <c r="W17" s="134"/>
    </row>
    <row r="18" spans="2:23" x14ac:dyDescent="0.25">
      <c r="B18" s="127">
        <f>'Утверждено (МЗ,ИЦ,КАП)'!A246</f>
        <v>0</v>
      </c>
      <c r="C18" s="133"/>
      <c r="D18" s="134"/>
      <c r="E18" s="135"/>
      <c r="F18" s="136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7"/>
      <c r="R18" s="133"/>
      <c r="S18" s="134"/>
      <c r="T18" s="135"/>
      <c r="U18" s="136"/>
      <c r="V18" s="134"/>
      <c r="W18" s="134"/>
    </row>
    <row r="19" spans="2:23" x14ac:dyDescent="0.25">
      <c r="B19" s="127">
        <f>'Утверждено (МЗ,ИЦ,КАП)'!A250</f>
        <v>0</v>
      </c>
      <c r="C19" s="133"/>
      <c r="D19" s="134"/>
      <c r="E19" s="135"/>
      <c r="F19" s="136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7"/>
      <c r="R19" s="133"/>
      <c r="S19" s="134"/>
      <c r="T19" s="135"/>
      <c r="U19" s="136"/>
      <c r="V19" s="134"/>
      <c r="W19" s="134"/>
    </row>
    <row r="20" spans="2:23" x14ac:dyDescent="0.25">
      <c r="B20" s="127">
        <f>'Утверждено (МЗ,ИЦ,КАП)'!A254</f>
        <v>0</v>
      </c>
      <c r="C20" s="133"/>
      <c r="D20" s="134"/>
      <c r="E20" s="135"/>
      <c r="F20" s="136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7"/>
      <c r="R20" s="133"/>
      <c r="S20" s="134"/>
      <c r="T20" s="135"/>
      <c r="U20" s="136"/>
      <c r="V20" s="134"/>
      <c r="W20" s="134"/>
    </row>
    <row r="21" spans="2:23" x14ac:dyDescent="0.25">
      <c r="B21" s="127">
        <f>'Утверждено (МЗ,ИЦ,КАП)'!A258</f>
        <v>0</v>
      </c>
      <c r="C21" s="133"/>
      <c r="D21" s="134"/>
      <c r="E21" s="135"/>
      <c r="F21" s="136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7"/>
      <c r="R21" s="133"/>
      <c r="S21" s="134"/>
      <c r="T21" s="135"/>
      <c r="U21" s="136"/>
      <c r="V21" s="134"/>
      <c r="W21" s="134"/>
    </row>
    <row r="22" spans="2:23" ht="15.75" thickBot="1" x14ac:dyDescent="0.3">
      <c r="B22" s="138" t="str">
        <f>'Утверждено (ПДД)'!G51</f>
        <v>911 0000 00000 00000 000 241</v>
      </c>
      <c r="C22" s="139"/>
      <c r="D22" s="140"/>
      <c r="E22" s="141"/>
      <c r="F22" s="136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7"/>
      <c r="R22" s="139"/>
      <c r="S22" s="140"/>
      <c r="T22" s="141"/>
      <c r="U22" s="136"/>
      <c r="V22" s="134"/>
      <c r="W22" s="134"/>
    </row>
    <row r="23" spans="2:23" x14ac:dyDescent="0.25">
      <c r="B23" s="142" t="s">
        <v>441</v>
      </c>
      <c r="C23" s="143">
        <f>Форма!F137</f>
        <v>17490350.109999999</v>
      </c>
      <c r="D23" s="143">
        <f>Форма!G137</f>
        <v>11200981.25</v>
      </c>
      <c r="E23" s="143">
        <f>Форма!H137</f>
        <v>11200981.25</v>
      </c>
      <c r="F23" s="143">
        <f>Форма!F180</f>
        <v>0</v>
      </c>
      <c r="G23" s="143">
        <f>Форма!G180</f>
        <v>0</v>
      </c>
      <c r="H23" s="143">
        <f>Форма!H180</f>
        <v>0</v>
      </c>
      <c r="I23" s="143">
        <f>Форма!F183</f>
        <v>0</v>
      </c>
      <c r="J23" s="143">
        <f>Форма!G183</f>
        <v>0</v>
      </c>
      <c r="K23" s="143">
        <f>Форма!H183</f>
        <v>0</v>
      </c>
      <c r="L23" s="143">
        <f>Форма!F185</f>
        <v>3981795.7300000004</v>
      </c>
      <c r="M23" s="143">
        <f>Форма!G185</f>
        <v>1889320.87</v>
      </c>
      <c r="N23" s="143">
        <f>Форма!H185</f>
        <v>0</v>
      </c>
      <c r="O23" s="143">
        <f>Форма!F181</f>
        <v>7326035</v>
      </c>
      <c r="P23" s="143">
        <f>Форма!G181</f>
        <v>553483</v>
      </c>
      <c r="Q23" s="143">
        <f>Форма!H181</f>
        <v>553483</v>
      </c>
      <c r="R23" s="143">
        <f>Форма!F188+Форма!F191+Форма!F194+Форма!F197</f>
        <v>0</v>
      </c>
      <c r="S23" s="143">
        <f>Форма!G188+Форма!G191+Форма!G194+Форма!G197</f>
        <v>0</v>
      </c>
      <c r="T23" s="143">
        <f>Форма!H188+Форма!H191+Форма!H194+Форма!H197</f>
        <v>0</v>
      </c>
      <c r="U23" s="143">
        <f>Форма!F189+Форма!F193+Форма!F199</f>
        <v>6182519.3799999999</v>
      </c>
      <c r="V23" s="143">
        <f>Форма!G189+Форма!G193+Форма!G199</f>
        <v>8758177.379999999</v>
      </c>
      <c r="W23" s="143">
        <f>Форма!H189+Форма!H193+Форма!H199</f>
        <v>10647498.25</v>
      </c>
    </row>
    <row r="24" spans="2:23" x14ac:dyDescent="0.25">
      <c r="B24" t="s">
        <v>442</v>
      </c>
      <c r="C24" s="144" t="e">
        <f>C23-C5</f>
        <v>#REF!</v>
      </c>
      <c r="D24" s="144" t="e">
        <f t="shared" ref="D24:E24" si="3">D23-D5</f>
        <v>#REF!</v>
      </c>
      <c r="E24" s="144" t="e">
        <f t="shared" si="3"/>
        <v>#REF!</v>
      </c>
      <c r="F24" s="144">
        <f>F23-F5</f>
        <v>0</v>
      </c>
      <c r="G24" s="144">
        <f t="shared" ref="G24:H24" si="4">G23-G5</f>
        <v>0</v>
      </c>
      <c r="H24" s="144">
        <f t="shared" si="4"/>
        <v>0</v>
      </c>
      <c r="I24" s="144">
        <f>I23-I5</f>
        <v>0</v>
      </c>
      <c r="J24" s="144">
        <f t="shared" ref="J24:K24" si="5">J23-J5</f>
        <v>0</v>
      </c>
      <c r="K24" s="144">
        <f t="shared" si="5"/>
        <v>0</v>
      </c>
      <c r="L24" s="144">
        <f>L23-L5</f>
        <v>3981795.7300000004</v>
      </c>
      <c r="M24" s="144">
        <f t="shared" ref="M24:N24" si="6">M23-M5</f>
        <v>1889320.87</v>
      </c>
      <c r="N24" s="144">
        <f t="shared" si="6"/>
        <v>0</v>
      </c>
      <c r="O24" s="144">
        <f>O23-O5</f>
        <v>7326035</v>
      </c>
      <c r="P24" s="144">
        <f t="shared" ref="P24:Q24" si="7">P23-P5</f>
        <v>553483</v>
      </c>
      <c r="Q24" s="144">
        <f t="shared" si="7"/>
        <v>553483</v>
      </c>
      <c r="R24" s="144">
        <f>R23-R5</f>
        <v>0</v>
      </c>
      <c r="S24" s="144">
        <f t="shared" ref="S24:T24" si="8">S23-S5</f>
        <v>0</v>
      </c>
      <c r="T24" s="144">
        <f t="shared" si="8"/>
        <v>0</v>
      </c>
      <c r="U24" s="144">
        <f>U23-U5</f>
        <v>6182519.3799999999</v>
      </c>
      <c r="V24" s="144">
        <f t="shared" ref="V24:W24" si="9">V23-V5</f>
        <v>8758177.379999999</v>
      </c>
      <c r="W24" s="144">
        <f t="shared" si="9"/>
        <v>10647498.25</v>
      </c>
    </row>
  </sheetData>
  <mergeCells count="13">
    <mergeCell ref="L3:N3"/>
    <mergeCell ref="R3:T3"/>
    <mergeCell ref="U3:W3"/>
    <mergeCell ref="B1:B2"/>
    <mergeCell ref="C1:E3"/>
    <mergeCell ref="F1:N1"/>
    <mergeCell ref="O1:W1"/>
    <mergeCell ref="F2:H3"/>
    <mergeCell ref="I2:N2"/>
    <mergeCell ref="O2:Q3"/>
    <mergeCell ref="R2:W2"/>
    <mergeCell ref="B3:B5"/>
    <mergeCell ref="I3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  <pageSetUpPr fitToPage="1"/>
  </sheetPr>
  <dimension ref="A1:O50"/>
  <sheetViews>
    <sheetView topLeftCell="A4" workbookViewId="0">
      <selection activeCell="I21" sqref="I21:I22"/>
    </sheetView>
  </sheetViews>
  <sheetFormatPr defaultRowHeight="15" x14ac:dyDescent="0.25"/>
  <cols>
    <col min="1" max="1" width="26.140625" customWidth="1"/>
    <col min="2" max="2" width="13.7109375" customWidth="1"/>
    <col min="3" max="6" width="12.7109375" customWidth="1"/>
    <col min="7" max="7" width="11.42578125" customWidth="1"/>
    <col min="8" max="8" width="14.7109375" customWidth="1"/>
    <col min="9" max="9" width="14.28515625" customWidth="1"/>
  </cols>
  <sheetData>
    <row r="1" spans="1:15" x14ac:dyDescent="0.25">
      <c r="A1" s="33" t="s">
        <v>658</v>
      </c>
      <c r="B1" s="294">
        <v>402</v>
      </c>
      <c r="C1" s="294">
        <v>4022</v>
      </c>
      <c r="D1" s="294">
        <v>4023</v>
      </c>
      <c r="E1" s="294">
        <v>4024</v>
      </c>
      <c r="F1" s="294">
        <v>404</v>
      </c>
      <c r="G1" s="294" t="s">
        <v>453</v>
      </c>
      <c r="H1" s="294" t="s">
        <v>451</v>
      </c>
    </row>
    <row r="2" spans="1:15" s="210" customFormat="1" ht="28.5" customHeight="1" x14ac:dyDescent="0.25">
      <c r="A2" s="207"/>
      <c r="B2" s="208" t="s">
        <v>634</v>
      </c>
      <c r="C2" s="208" t="s">
        <v>635</v>
      </c>
      <c r="D2" s="208" t="s">
        <v>636</v>
      </c>
      <c r="E2" s="208" t="s">
        <v>637</v>
      </c>
      <c r="F2" s="208" t="s">
        <v>638</v>
      </c>
      <c r="G2" s="209" t="s">
        <v>639</v>
      </c>
      <c r="H2" s="209" t="s">
        <v>640</v>
      </c>
      <c r="I2" s="209" t="s">
        <v>641</v>
      </c>
    </row>
    <row r="3" spans="1:15" ht="33.75" customHeight="1" x14ac:dyDescent="0.25">
      <c r="A3" s="211" t="s">
        <v>691</v>
      </c>
      <c r="B3" s="225">
        <f>104339.29+4429.68+62928+2248697.89</f>
        <v>2420394.8600000003</v>
      </c>
      <c r="C3" s="225">
        <v>33000</v>
      </c>
      <c r="D3" s="225">
        <f>63655.9+16500+509760</f>
        <v>589915.9</v>
      </c>
      <c r="E3" s="225">
        <f>35200+29040</f>
        <v>64240</v>
      </c>
      <c r="F3" s="225"/>
      <c r="G3" s="225"/>
      <c r="H3" s="225">
        <v>15630</v>
      </c>
      <c r="I3" s="295">
        <f t="shared" ref="I3:I7" si="0">SUM(B3:H3)</f>
        <v>3123180.7600000002</v>
      </c>
      <c r="J3" s="214" t="s">
        <v>642</v>
      </c>
      <c r="K3" s="174"/>
      <c r="L3" s="174"/>
      <c r="M3" s="174"/>
      <c r="N3" s="174"/>
      <c r="O3" s="174"/>
    </row>
    <row r="4" spans="1:15" ht="20.25" customHeight="1" x14ac:dyDescent="0.25">
      <c r="A4" s="215" t="s">
        <v>659</v>
      </c>
      <c r="B4" s="216">
        <f>B5+B6+B7+B8+B9+B10</f>
        <v>686020.15</v>
      </c>
      <c r="C4" s="216">
        <f t="shared" ref="C4:H4" si="1">C5+C6+C7+C8+C9+C10</f>
        <v>3000</v>
      </c>
      <c r="D4" s="216">
        <f t="shared" si="1"/>
        <v>103219.83</v>
      </c>
      <c r="E4" s="216">
        <f t="shared" si="1"/>
        <v>4800</v>
      </c>
      <c r="F4" s="216">
        <f t="shared" si="1"/>
        <v>1920</v>
      </c>
      <c r="G4" s="216">
        <f t="shared" si="1"/>
        <v>49595</v>
      </c>
      <c r="H4" s="216">
        <f t="shared" si="1"/>
        <v>10059.99</v>
      </c>
      <c r="I4" s="216">
        <f>SUM(B4:H4)</f>
        <v>858614.97</v>
      </c>
      <c r="J4" t="s">
        <v>643</v>
      </c>
    </row>
    <row r="5" spans="1:15" x14ac:dyDescent="0.25">
      <c r="A5" s="134" t="s">
        <v>644</v>
      </c>
      <c r="B5" s="170">
        <f>3192.65+1000</f>
        <v>4192.6499999999996</v>
      </c>
      <c r="C5" s="170"/>
      <c r="D5" s="170"/>
      <c r="E5" s="170"/>
      <c r="F5" s="170"/>
      <c r="G5" s="170"/>
      <c r="H5" s="170">
        <v>3399.99</v>
      </c>
      <c r="I5" s="217">
        <f t="shared" si="0"/>
        <v>7592.6399999999994</v>
      </c>
    </row>
    <row r="6" spans="1:15" x14ac:dyDescent="0.25">
      <c r="A6" s="134" t="s">
        <v>645</v>
      </c>
      <c r="B6" s="170"/>
      <c r="C6" s="170"/>
      <c r="D6" s="170"/>
      <c r="E6" s="170"/>
      <c r="F6" s="170"/>
      <c r="G6" s="170"/>
      <c r="H6" s="170"/>
      <c r="I6" s="217">
        <f t="shared" si="0"/>
        <v>0</v>
      </c>
    </row>
    <row r="7" spans="1:15" x14ac:dyDescent="0.25">
      <c r="A7" s="134" t="s">
        <v>646</v>
      </c>
      <c r="B7" s="170">
        <f>172400.76+460930.11+25239.88</f>
        <v>658570.75</v>
      </c>
      <c r="C7" s="170"/>
      <c r="D7" s="170"/>
      <c r="E7" s="170"/>
      <c r="F7" s="170"/>
      <c r="G7" s="170"/>
      <c r="H7" s="170"/>
      <c r="I7" s="217">
        <f t="shared" si="0"/>
        <v>658570.75</v>
      </c>
    </row>
    <row r="8" spans="1:15" x14ac:dyDescent="0.25">
      <c r="A8" s="134" t="s">
        <v>647</v>
      </c>
      <c r="B8" s="170"/>
      <c r="C8" s="170"/>
      <c r="D8" s="170"/>
      <c r="E8" s="170"/>
      <c r="F8" s="170"/>
      <c r="G8" s="170"/>
      <c r="H8" s="170"/>
      <c r="I8" s="217">
        <f t="shared" ref="I8:I10" si="2">SUM(B8:H8)</f>
        <v>0</v>
      </c>
    </row>
    <row r="9" spans="1:15" x14ac:dyDescent="0.25">
      <c r="A9" s="134" t="s">
        <v>648</v>
      </c>
      <c r="B9" s="170">
        <f>6555+2164.8+9485.39+1476.56+1275+2300</f>
        <v>23256.75</v>
      </c>
      <c r="C9" s="170">
        <v>3000</v>
      </c>
      <c r="D9" s="170">
        <f>1500+1817.59</f>
        <v>3317.59</v>
      </c>
      <c r="E9" s="170">
        <v>1600</v>
      </c>
      <c r="F9" s="170"/>
      <c r="G9" s="170"/>
      <c r="H9" s="170">
        <f>5460</f>
        <v>5460</v>
      </c>
      <c r="I9" s="217">
        <f t="shared" si="2"/>
        <v>36634.339999999997</v>
      </c>
    </row>
    <row r="10" spans="1:15" x14ac:dyDescent="0.25">
      <c r="A10" s="134" t="s">
        <v>649</v>
      </c>
      <c r="B10" s="170"/>
      <c r="C10" s="170"/>
      <c r="D10" s="170">
        <f>95040+4862.24</f>
        <v>99902.24</v>
      </c>
      <c r="E10" s="170">
        <v>3200</v>
      </c>
      <c r="F10" s="170">
        <v>1920</v>
      </c>
      <c r="G10" s="170">
        <v>49595</v>
      </c>
      <c r="H10" s="170">
        <v>1200</v>
      </c>
      <c r="I10" s="217">
        <f t="shared" si="2"/>
        <v>155817.24</v>
      </c>
    </row>
    <row r="11" spans="1:15" s="33" customFormat="1" ht="18.75" customHeight="1" x14ac:dyDescent="0.2">
      <c r="A11" s="218" t="s">
        <v>650</v>
      </c>
      <c r="B11" s="219">
        <f>+B3+B4</f>
        <v>3106415.0100000002</v>
      </c>
      <c r="C11" s="219">
        <f t="shared" ref="C11:I11" si="3">+C3+C4</f>
        <v>36000</v>
      </c>
      <c r="D11" s="219">
        <f t="shared" si="3"/>
        <v>693135.73</v>
      </c>
      <c r="E11" s="219">
        <f t="shared" si="3"/>
        <v>69040</v>
      </c>
      <c r="F11" s="219">
        <f>+F3+F4</f>
        <v>1920</v>
      </c>
      <c r="G11" s="219">
        <f>+G3+G4</f>
        <v>49595</v>
      </c>
      <c r="H11" s="219">
        <f t="shared" si="3"/>
        <v>25689.989999999998</v>
      </c>
      <c r="I11" s="219">
        <f t="shared" si="3"/>
        <v>3981795.7300000004</v>
      </c>
    </row>
    <row r="12" spans="1:15" s="33" customFormat="1" ht="14.25" x14ac:dyDescent="0.2">
      <c r="A12" s="218" t="s">
        <v>651</v>
      </c>
      <c r="B12" s="219">
        <f>SUM(B13:B15)</f>
        <v>1413700</v>
      </c>
      <c r="C12" s="219">
        <f t="shared" ref="C12:H12" si="4">SUM(C13:C15)</f>
        <v>0</v>
      </c>
      <c r="D12" s="219">
        <f t="shared" si="4"/>
        <v>0</v>
      </c>
      <c r="E12" s="219">
        <f t="shared" si="4"/>
        <v>0</v>
      </c>
      <c r="F12" s="219">
        <f t="shared" si="4"/>
        <v>0</v>
      </c>
      <c r="G12" s="219">
        <f t="shared" si="4"/>
        <v>0</v>
      </c>
      <c r="H12" s="219">
        <f t="shared" si="4"/>
        <v>5912335</v>
      </c>
      <c r="I12" s="219">
        <f>SUM(B12:H12)</f>
        <v>7326035</v>
      </c>
    </row>
    <row r="13" spans="1:15" s="33" customFormat="1" x14ac:dyDescent="0.25">
      <c r="A13" s="220" t="s">
        <v>652</v>
      </c>
      <c r="B13" s="252">
        <f>'Утверждено (МЗ,ИЦ,КАП)'!I94</f>
        <v>1413700</v>
      </c>
      <c r="C13" s="252"/>
      <c r="D13" s="252"/>
      <c r="E13" s="252"/>
      <c r="F13" s="252"/>
      <c r="G13" s="252"/>
      <c r="H13" s="252">
        <f>120000+5684908+14400</f>
        <v>5819308</v>
      </c>
      <c r="I13" s="217">
        <f>SUM(B13:H13)</f>
        <v>7233008</v>
      </c>
    </row>
    <row r="14" spans="1:15" s="33" customFormat="1" x14ac:dyDescent="0.25">
      <c r="A14" s="221" t="s">
        <v>653</v>
      </c>
      <c r="B14" s="252"/>
      <c r="C14" s="252"/>
      <c r="D14" s="252"/>
      <c r="E14" s="252"/>
      <c r="F14" s="252"/>
      <c r="G14" s="252"/>
      <c r="H14" s="252">
        <v>7425</v>
      </c>
      <c r="I14" s="217">
        <f t="shared" ref="I14:I15" si="5">SUM(B14:H14)</f>
        <v>7425</v>
      </c>
    </row>
    <row r="15" spans="1:15" s="33" customFormat="1" x14ac:dyDescent="0.25">
      <c r="A15" s="221" t="s">
        <v>654</v>
      </c>
      <c r="B15" s="252"/>
      <c r="C15" s="252"/>
      <c r="D15" s="252"/>
      <c r="E15" s="252"/>
      <c r="F15" s="252"/>
      <c r="G15" s="252"/>
      <c r="H15" s="252">
        <v>85602</v>
      </c>
      <c r="I15" s="217">
        <f t="shared" si="5"/>
        <v>85602</v>
      </c>
    </row>
    <row r="16" spans="1:15" s="33" customFormat="1" ht="14.25" x14ac:dyDescent="0.2">
      <c r="A16" s="222"/>
      <c r="B16" s="223"/>
      <c r="C16" s="223"/>
      <c r="D16" s="223"/>
      <c r="E16" s="223"/>
      <c r="F16" s="223"/>
      <c r="G16" s="223"/>
      <c r="H16" s="223"/>
      <c r="I16" s="223"/>
    </row>
    <row r="17" spans="1:10" s="33" customFormat="1" ht="14.25" x14ac:dyDescent="0.2">
      <c r="A17" s="222"/>
      <c r="B17" s="223"/>
      <c r="C17" s="223"/>
      <c r="D17" s="223"/>
      <c r="E17" s="223"/>
      <c r="F17" s="223"/>
      <c r="G17" s="223"/>
      <c r="H17" s="223"/>
      <c r="I17" s="223"/>
    </row>
    <row r="18" spans="1:10" ht="28.5" customHeight="1" x14ac:dyDescent="0.25">
      <c r="A18" s="222" t="s">
        <v>680</v>
      </c>
      <c r="B18" s="545" t="s">
        <v>655</v>
      </c>
      <c r="C18" s="546"/>
      <c r="D18" s="546"/>
      <c r="E18" s="224"/>
      <c r="F18" t="s">
        <v>656</v>
      </c>
      <c r="H18" t="s">
        <v>656</v>
      </c>
    </row>
    <row r="19" spans="1:10" s="210" customFormat="1" ht="33" customHeight="1" x14ac:dyDescent="0.25">
      <c r="A19" s="207"/>
      <c r="B19" s="208" t="s">
        <v>634</v>
      </c>
      <c r="C19" s="208" t="s">
        <v>635</v>
      </c>
      <c r="D19" s="208" t="s">
        <v>636</v>
      </c>
      <c r="E19" s="208" t="s">
        <v>637</v>
      </c>
      <c r="F19" s="208" t="s">
        <v>638</v>
      </c>
      <c r="G19" s="209" t="s">
        <v>639</v>
      </c>
      <c r="H19" s="209" t="s">
        <v>640</v>
      </c>
      <c r="I19" s="209" t="s">
        <v>641</v>
      </c>
    </row>
    <row r="20" spans="1:10" ht="30" customHeight="1" x14ac:dyDescent="0.25">
      <c r="A20" s="211" t="s">
        <v>691</v>
      </c>
      <c r="B20" s="225">
        <f>(495239.09+113083)+1277953.78</f>
        <v>1886275.87</v>
      </c>
      <c r="C20" s="212"/>
      <c r="D20" s="212"/>
      <c r="E20" s="212"/>
      <c r="F20" s="212"/>
      <c r="G20" s="212"/>
      <c r="H20" s="225">
        <f>2300+745</f>
        <v>3045</v>
      </c>
      <c r="I20" s="213">
        <f>SUM(B20:H20)</f>
        <v>1889320.87</v>
      </c>
      <c r="J20" s="210" t="s">
        <v>746</v>
      </c>
    </row>
    <row r="21" spans="1:10" ht="30" customHeight="1" x14ac:dyDescent="0.25">
      <c r="A21" s="211" t="s">
        <v>696</v>
      </c>
      <c r="B21" s="225">
        <f>52120.92+56912.34</f>
        <v>109033.26</v>
      </c>
      <c r="C21" s="225"/>
      <c r="D21" s="225"/>
      <c r="E21" s="225">
        <f>19200+12000</f>
        <v>31200</v>
      </c>
      <c r="F21" s="225"/>
      <c r="G21" s="225"/>
      <c r="H21" s="225">
        <v>3613.36</v>
      </c>
      <c r="I21" s="213">
        <f>SUM(B21:H21)</f>
        <v>143846.62</v>
      </c>
    </row>
    <row r="22" spans="1:10" x14ac:dyDescent="0.25">
      <c r="A22" s="215" t="s">
        <v>681</v>
      </c>
      <c r="B22" s="216">
        <f>B23+B24+B25+B26+B27+B28</f>
        <v>43711.96</v>
      </c>
      <c r="C22" s="216">
        <f t="shared" ref="C22:H22" si="6">C23+C24+C25+C26+C27+C28</f>
        <v>0</v>
      </c>
      <c r="D22" s="216">
        <f t="shared" si="6"/>
        <v>99824.489999999991</v>
      </c>
      <c r="E22" s="216">
        <f t="shared" si="6"/>
        <v>5840</v>
      </c>
      <c r="F22" s="216">
        <f t="shared" si="6"/>
        <v>0</v>
      </c>
      <c r="G22" s="216">
        <f t="shared" si="6"/>
        <v>0</v>
      </c>
      <c r="H22" s="216">
        <f t="shared" si="6"/>
        <v>0</v>
      </c>
      <c r="I22" s="216">
        <f t="shared" ref="I22:I25" si="7">SUM(B22:H22)</f>
        <v>149376.44999999998</v>
      </c>
    </row>
    <row r="23" spans="1:10" x14ac:dyDescent="0.25">
      <c r="A23" s="134" t="s">
        <v>644</v>
      </c>
      <c r="B23" s="170">
        <v>2000.03</v>
      </c>
      <c r="C23" s="170"/>
      <c r="D23" s="170"/>
      <c r="E23" s="170"/>
      <c r="F23" s="170"/>
      <c r="G23" s="170"/>
      <c r="H23" s="170"/>
      <c r="I23" s="217">
        <f t="shared" si="7"/>
        <v>2000.03</v>
      </c>
    </row>
    <row r="24" spans="1:10" x14ac:dyDescent="0.25">
      <c r="A24" s="134" t="s">
        <v>645</v>
      </c>
      <c r="B24" s="170"/>
      <c r="C24" s="170"/>
      <c r="D24" s="170"/>
      <c r="E24" s="170"/>
      <c r="F24" s="170"/>
      <c r="G24" s="170"/>
      <c r="H24" s="170"/>
      <c r="I24" s="217">
        <f t="shared" si="7"/>
        <v>0</v>
      </c>
    </row>
    <row r="25" spans="1:10" x14ac:dyDescent="0.25">
      <c r="A25" s="134" t="s">
        <v>646</v>
      </c>
      <c r="B25" s="170">
        <f>40235.37</f>
        <v>40235.370000000003</v>
      </c>
      <c r="C25" s="170"/>
      <c r="D25" s="170"/>
      <c r="E25" s="170"/>
      <c r="F25" s="170"/>
      <c r="G25" s="170"/>
      <c r="H25" s="170"/>
      <c r="I25" s="217">
        <f t="shared" si="7"/>
        <v>40235.370000000003</v>
      </c>
    </row>
    <row r="26" spans="1:10" x14ac:dyDescent="0.25">
      <c r="A26" s="134" t="s">
        <v>647</v>
      </c>
      <c r="B26" s="170"/>
      <c r="C26" s="170"/>
      <c r="D26" s="170"/>
      <c r="E26" s="170"/>
      <c r="F26" s="170"/>
      <c r="G26" s="170"/>
      <c r="H26" s="170"/>
      <c r="I26" s="217">
        <f t="shared" ref="I26:I33" si="8">SUM(B26:H26)</f>
        <v>0</v>
      </c>
    </row>
    <row r="27" spans="1:10" x14ac:dyDescent="0.25">
      <c r="A27" s="134" t="s">
        <v>648</v>
      </c>
      <c r="B27" s="170">
        <f>1476.56</f>
        <v>1476.56</v>
      </c>
      <c r="C27" s="170"/>
      <c r="D27" s="170">
        <f>1817.59+1500</f>
        <v>3317.59</v>
      </c>
      <c r="E27" s="170">
        <v>2640</v>
      </c>
      <c r="F27" s="170"/>
      <c r="G27" s="170"/>
      <c r="H27" s="170"/>
      <c r="I27" s="217">
        <f t="shared" si="8"/>
        <v>7434.15</v>
      </c>
    </row>
    <row r="28" spans="1:10" x14ac:dyDescent="0.25">
      <c r="A28" s="134" t="s">
        <v>649</v>
      </c>
      <c r="B28" s="170"/>
      <c r="C28" s="170"/>
      <c r="D28" s="170">
        <f>90720+5786.9</f>
        <v>96506.9</v>
      </c>
      <c r="E28" s="170">
        <v>3200</v>
      </c>
      <c r="F28" s="170"/>
      <c r="G28" s="170"/>
      <c r="H28" s="170"/>
      <c r="I28" s="217">
        <f t="shared" si="8"/>
        <v>99706.9</v>
      </c>
    </row>
    <row r="29" spans="1:10" s="33" customFormat="1" ht="14.25" x14ac:dyDescent="0.2">
      <c r="A29" s="218" t="s">
        <v>650</v>
      </c>
      <c r="B29" s="219">
        <f>+B22+B21+B20</f>
        <v>2039021.09</v>
      </c>
      <c r="C29" s="219">
        <f t="shared" ref="C29:I29" si="9">+C22+C21+C20</f>
        <v>0</v>
      </c>
      <c r="D29" s="219">
        <f t="shared" si="9"/>
        <v>99824.489999999991</v>
      </c>
      <c r="E29" s="219">
        <f t="shared" si="9"/>
        <v>37040</v>
      </c>
      <c r="F29" s="219">
        <f t="shared" si="9"/>
        <v>0</v>
      </c>
      <c r="G29" s="219">
        <f t="shared" si="9"/>
        <v>0</v>
      </c>
      <c r="H29" s="219">
        <f t="shared" si="9"/>
        <v>6658.3600000000006</v>
      </c>
      <c r="I29" s="219">
        <f t="shared" si="9"/>
        <v>2182543.94</v>
      </c>
    </row>
    <row r="30" spans="1:10" s="33" customFormat="1" ht="14.25" x14ac:dyDescent="0.2">
      <c r="A30" s="218" t="s">
        <v>651</v>
      </c>
      <c r="B30" s="219">
        <f>SUM(B31:B33)</f>
        <v>340456</v>
      </c>
      <c r="C30" s="219">
        <f t="shared" ref="C30:H30" si="10">SUM(C31:C33)</f>
        <v>0</v>
      </c>
      <c r="D30" s="219">
        <f t="shared" si="10"/>
        <v>0</v>
      </c>
      <c r="E30" s="219">
        <f t="shared" si="10"/>
        <v>0</v>
      </c>
      <c r="F30" s="219">
        <f t="shared" si="10"/>
        <v>0</v>
      </c>
      <c r="G30" s="219">
        <f t="shared" si="10"/>
        <v>0</v>
      </c>
      <c r="H30" s="219">
        <f t="shared" si="10"/>
        <v>213027</v>
      </c>
      <c r="I30" s="219">
        <f t="shared" si="8"/>
        <v>553483</v>
      </c>
    </row>
    <row r="31" spans="1:10" s="33" customFormat="1" x14ac:dyDescent="0.25">
      <c r="A31" s="221" t="s">
        <v>652</v>
      </c>
      <c r="B31" s="252">
        <v>340456</v>
      </c>
      <c r="C31" s="252"/>
      <c r="D31" s="252"/>
      <c r="E31" s="252"/>
      <c r="F31" s="252"/>
      <c r="G31" s="252"/>
      <c r="H31" s="252">
        <v>120000</v>
      </c>
      <c r="I31" s="217">
        <f t="shared" si="8"/>
        <v>460456</v>
      </c>
    </row>
    <row r="32" spans="1:10" s="33" customFormat="1" x14ac:dyDescent="0.25">
      <c r="A32" s="221" t="s">
        <v>653</v>
      </c>
      <c r="B32" s="252"/>
      <c r="C32" s="252"/>
      <c r="D32" s="252"/>
      <c r="E32" s="252"/>
      <c r="F32" s="252"/>
      <c r="G32" s="252"/>
      <c r="H32" s="252">
        <v>7425</v>
      </c>
      <c r="I32" s="217">
        <f t="shared" si="8"/>
        <v>7425</v>
      </c>
    </row>
    <row r="33" spans="1:10" s="33" customFormat="1" x14ac:dyDescent="0.25">
      <c r="A33" s="221" t="s">
        <v>654</v>
      </c>
      <c r="B33" s="252"/>
      <c r="C33" s="252"/>
      <c r="D33" s="252"/>
      <c r="E33" s="252"/>
      <c r="F33" s="252"/>
      <c r="G33" s="252"/>
      <c r="H33" s="252">
        <v>85602</v>
      </c>
      <c r="I33" s="217">
        <f t="shared" si="8"/>
        <v>85602</v>
      </c>
    </row>
    <row r="36" spans="1:10" ht="28.5" customHeight="1" x14ac:dyDescent="0.25">
      <c r="A36" s="222" t="s">
        <v>697</v>
      </c>
      <c r="B36" s="545" t="s">
        <v>655</v>
      </c>
      <c r="C36" s="546"/>
      <c r="D36" s="546"/>
      <c r="E36" s="224"/>
      <c r="F36" t="s">
        <v>656</v>
      </c>
      <c r="H36" t="s">
        <v>656</v>
      </c>
    </row>
    <row r="37" spans="1:10" s="210" customFormat="1" ht="33" customHeight="1" x14ac:dyDescent="0.25">
      <c r="A37" s="207"/>
      <c r="B37" s="208" t="s">
        <v>634</v>
      </c>
      <c r="C37" s="208" t="s">
        <v>635</v>
      </c>
      <c r="D37" s="208" t="s">
        <v>636</v>
      </c>
      <c r="E37" s="208" t="s">
        <v>637</v>
      </c>
      <c r="F37" s="208" t="s">
        <v>638</v>
      </c>
      <c r="G37" s="209" t="s">
        <v>639</v>
      </c>
      <c r="H37" s="209" t="s">
        <v>640</v>
      </c>
      <c r="I37" s="209" t="s">
        <v>641</v>
      </c>
    </row>
    <row r="38" spans="1:10" ht="30" customHeight="1" x14ac:dyDescent="0.25">
      <c r="A38" s="211" t="s">
        <v>691</v>
      </c>
      <c r="B38" s="225">
        <v>0</v>
      </c>
      <c r="C38" s="212"/>
      <c r="D38" s="212"/>
      <c r="E38" s="212"/>
      <c r="F38" s="212"/>
      <c r="G38" s="212"/>
      <c r="H38" s="212"/>
      <c r="I38" s="213">
        <f>SUM(B38:H38)</f>
        <v>0</v>
      </c>
      <c r="J38" t="s">
        <v>657</v>
      </c>
    </row>
    <row r="39" spans="1:10" x14ac:dyDescent="0.25">
      <c r="A39" s="215" t="s">
        <v>698</v>
      </c>
      <c r="B39" s="216">
        <f>B40+B41+B42+B43+B44+B45</f>
        <v>0</v>
      </c>
      <c r="C39" s="216">
        <f t="shared" ref="C39:H39" si="11">C40+C41+C42+C43+C44+C45</f>
        <v>0</v>
      </c>
      <c r="D39" s="216">
        <f t="shared" si="11"/>
        <v>0</v>
      </c>
      <c r="E39" s="216">
        <f t="shared" si="11"/>
        <v>0</v>
      </c>
      <c r="F39" s="216">
        <f t="shared" si="11"/>
        <v>0</v>
      </c>
      <c r="G39" s="216">
        <f t="shared" si="11"/>
        <v>0</v>
      </c>
      <c r="H39" s="216">
        <f t="shared" si="11"/>
        <v>0</v>
      </c>
      <c r="I39" s="216">
        <f t="shared" ref="I39:I42" si="12">SUM(B39:H39)</f>
        <v>0</v>
      </c>
    </row>
    <row r="40" spans="1:10" x14ac:dyDescent="0.25">
      <c r="A40" s="134" t="s">
        <v>644</v>
      </c>
      <c r="B40" s="129"/>
      <c r="C40" s="129"/>
      <c r="D40" s="129"/>
      <c r="E40" s="129"/>
      <c r="F40" s="129"/>
      <c r="G40" s="129"/>
      <c r="H40" s="129"/>
      <c r="I40" s="217">
        <f t="shared" si="12"/>
        <v>0</v>
      </c>
    </row>
    <row r="41" spans="1:10" x14ac:dyDescent="0.25">
      <c r="A41" s="134" t="s">
        <v>645</v>
      </c>
      <c r="B41" s="129"/>
      <c r="C41" s="129"/>
      <c r="D41" s="129"/>
      <c r="E41" s="129"/>
      <c r="F41" s="129"/>
      <c r="G41" s="129"/>
      <c r="H41" s="129"/>
      <c r="I41" s="217">
        <f t="shared" si="12"/>
        <v>0</v>
      </c>
    </row>
    <row r="42" spans="1:10" x14ac:dyDescent="0.25">
      <c r="A42" s="134" t="s">
        <v>646</v>
      </c>
      <c r="B42" s="129"/>
      <c r="C42" s="129"/>
      <c r="D42" s="129"/>
      <c r="E42" s="129"/>
      <c r="F42" s="129"/>
      <c r="G42" s="129"/>
      <c r="H42" s="129"/>
      <c r="I42" s="217">
        <f t="shared" si="12"/>
        <v>0</v>
      </c>
    </row>
    <row r="43" spans="1:10" x14ac:dyDescent="0.25">
      <c r="A43" s="134" t="s">
        <v>647</v>
      </c>
      <c r="B43" s="129"/>
      <c r="C43" s="129"/>
      <c r="D43" s="129"/>
      <c r="E43" s="129"/>
      <c r="F43" s="129"/>
      <c r="G43" s="129"/>
      <c r="H43" s="129"/>
      <c r="I43" s="217">
        <f t="shared" ref="I43:I45" si="13">SUM(B43:H43)</f>
        <v>0</v>
      </c>
    </row>
    <row r="44" spans="1:10" x14ac:dyDescent="0.25">
      <c r="A44" s="134" t="s">
        <v>648</v>
      </c>
      <c r="B44" s="129"/>
      <c r="C44" s="129"/>
      <c r="D44" s="129"/>
      <c r="E44" s="129"/>
      <c r="F44" s="129"/>
      <c r="G44" s="129"/>
      <c r="H44" s="129"/>
      <c r="I44" s="217">
        <f t="shared" si="13"/>
        <v>0</v>
      </c>
    </row>
    <row r="45" spans="1:10" x14ac:dyDescent="0.25">
      <c r="A45" s="134" t="s">
        <v>649</v>
      </c>
      <c r="B45" s="129"/>
      <c r="C45" s="129"/>
      <c r="D45" s="129"/>
      <c r="E45" s="129"/>
      <c r="F45" s="129"/>
      <c r="G45" s="129"/>
      <c r="H45" s="129"/>
      <c r="I45" s="217">
        <f t="shared" si="13"/>
        <v>0</v>
      </c>
    </row>
    <row r="46" spans="1:10" s="33" customFormat="1" ht="14.25" x14ac:dyDescent="0.2">
      <c r="A46" s="218" t="s">
        <v>650</v>
      </c>
      <c r="B46" s="219">
        <f>+B39+B38</f>
        <v>0</v>
      </c>
      <c r="C46" s="219">
        <f t="shared" ref="C46:I46" si="14">+C39+C38</f>
        <v>0</v>
      </c>
      <c r="D46" s="219">
        <f t="shared" si="14"/>
        <v>0</v>
      </c>
      <c r="E46" s="219">
        <f t="shared" si="14"/>
        <v>0</v>
      </c>
      <c r="F46" s="219">
        <f t="shared" si="14"/>
        <v>0</v>
      </c>
      <c r="G46" s="219">
        <f t="shared" si="14"/>
        <v>0</v>
      </c>
      <c r="H46" s="219">
        <f t="shared" si="14"/>
        <v>0</v>
      </c>
      <c r="I46" s="219">
        <f t="shared" si="14"/>
        <v>0</v>
      </c>
    </row>
    <row r="47" spans="1:10" s="33" customFormat="1" ht="14.25" x14ac:dyDescent="0.2">
      <c r="A47" s="218" t="s">
        <v>651</v>
      </c>
      <c r="B47" s="219">
        <f>SUM(B48:B50)</f>
        <v>340456</v>
      </c>
      <c r="C47" s="219">
        <f t="shared" ref="C47:H47" si="15">SUM(C48:C50)</f>
        <v>0</v>
      </c>
      <c r="D47" s="219">
        <f t="shared" si="15"/>
        <v>0</v>
      </c>
      <c r="E47" s="219">
        <f t="shared" si="15"/>
        <v>0</v>
      </c>
      <c r="F47" s="219">
        <f t="shared" si="15"/>
        <v>0</v>
      </c>
      <c r="G47" s="219">
        <f t="shared" si="15"/>
        <v>0</v>
      </c>
      <c r="H47" s="219">
        <f t="shared" si="15"/>
        <v>213027</v>
      </c>
      <c r="I47" s="219">
        <f t="shared" ref="I47:I50" si="16">SUM(B47:H47)</f>
        <v>553483</v>
      </c>
    </row>
    <row r="48" spans="1:10" s="33" customFormat="1" x14ac:dyDescent="0.25">
      <c r="A48" s="221" t="s">
        <v>652</v>
      </c>
      <c r="B48" s="252">
        <v>340456</v>
      </c>
      <c r="C48" s="252"/>
      <c r="D48" s="252"/>
      <c r="E48" s="252"/>
      <c r="F48" s="252"/>
      <c r="G48" s="252"/>
      <c r="H48" s="252">
        <v>120000</v>
      </c>
      <c r="I48" s="217">
        <f t="shared" si="16"/>
        <v>460456</v>
      </c>
    </row>
    <row r="49" spans="1:9" s="33" customFormat="1" x14ac:dyDescent="0.25">
      <c r="A49" s="221" t="s">
        <v>653</v>
      </c>
      <c r="B49" s="252"/>
      <c r="C49" s="252"/>
      <c r="D49" s="252"/>
      <c r="E49" s="252"/>
      <c r="F49" s="252"/>
      <c r="G49" s="252"/>
      <c r="H49" s="252">
        <v>7425</v>
      </c>
      <c r="I49" s="217">
        <f t="shared" si="16"/>
        <v>7425</v>
      </c>
    </row>
    <row r="50" spans="1:9" s="33" customFormat="1" x14ac:dyDescent="0.25">
      <c r="A50" s="221" t="s">
        <v>654</v>
      </c>
      <c r="B50" s="252"/>
      <c r="C50" s="252"/>
      <c r="D50" s="252"/>
      <c r="E50" s="252"/>
      <c r="F50" s="252"/>
      <c r="G50" s="252"/>
      <c r="H50" s="252">
        <v>85602</v>
      </c>
      <c r="I50" s="217">
        <f t="shared" si="16"/>
        <v>85602</v>
      </c>
    </row>
  </sheetData>
  <mergeCells count="2">
    <mergeCell ref="B18:D18"/>
    <mergeCell ref="B36:D36"/>
  </mergeCell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Бланк от 18.09.19 2455</vt:lpstr>
      <vt:lpstr>Форма</vt:lpstr>
      <vt:lpstr>для сайта</vt:lpstr>
      <vt:lpstr>Утверждено (МЗ,ИЦ,КАП)</vt:lpstr>
      <vt:lpstr>Утверждено (ПДД)</vt:lpstr>
      <vt:lpstr>Закупки</vt:lpstr>
      <vt:lpstr>Таблица к разделу 2</vt:lpstr>
      <vt:lpstr>'Утверждено (МЗ,ИЦ,КАП)'!Заголовки_для_печати</vt:lpstr>
      <vt:lpstr>'Утверждено (ПДД)'!Заголовки_для_печати</vt:lpstr>
      <vt:lpstr>'Бланк от 18.09.19 2455'!Область_печати</vt:lpstr>
      <vt:lpstr>'Утверждено (МЗ,ИЦ,КАП)'!Область_печати</vt:lpstr>
      <vt:lpstr>'Утверждено (ПДД)'!Область_печати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Жилина</dc:creator>
  <cp:lastModifiedBy>Маргарита Юрьевна Арсиенко</cp:lastModifiedBy>
  <cp:lastPrinted>2023-12-11T02:59:44Z</cp:lastPrinted>
  <dcterms:created xsi:type="dcterms:W3CDTF">2019-12-31T06:20:24Z</dcterms:created>
  <dcterms:modified xsi:type="dcterms:W3CDTF">2023-12-11T03:01:38Z</dcterms:modified>
</cp:coreProperties>
</file>